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Mozy\Desktop\WEBSITE MATERIAL\Financial Projections Template\"/>
    </mc:Choice>
  </mc:AlternateContent>
  <xr:revisionPtr revIDLastSave="0" documentId="13_ncr:1_{DF49D53F-8211-4D80-9E30-501602B482B3}" xr6:coauthVersionLast="40" xr6:coauthVersionMax="40" xr10:uidLastSave="{00000000-0000-0000-0000-000000000000}"/>
  <workbookProtection workbookAlgorithmName="SHA-512" workbookHashValue="ZOMvLKDyze0J7RoHVq5juWtBgyrjVsZiM6fFOxRa0KwCb86q9Yk5qKP+Xfy/c6brg/NHLQ32CZJD319Ax+YJRg==" workbookSaltValue="mTQarxIAvQi21LqcUhQO1g==" workbookSpinCount="100000" lockStructure="1"/>
  <bookViews>
    <workbookView xWindow="0" yWindow="0" windowWidth="17570" windowHeight="6860" tabRatio="929" xr2:uid="{00000000-000D-0000-FFFF-FFFF00000000}"/>
  </bookViews>
  <sheets>
    <sheet name="INTRODUCTION" sheetId="1" r:id="rId1"/>
    <sheet name="DASHBOARD" sheetId="2" r:id="rId2"/>
    <sheet name="REVENUE" sheetId="3" r:id="rId3"/>
    <sheet name="COST_OF_REV" sheetId="4" r:id="rId4"/>
    <sheet name="OPEX" sheetId="6" r:id="rId5"/>
    <sheet name="EXTRA" sheetId="7" r:id="rId6"/>
    <sheet name="PEOPLE" sheetId="16" r:id="rId7"/>
    <sheet name="CAPEX" sheetId="8" r:id="rId8"/>
    <sheet name="WORKINGCAPITAL" sheetId="9" r:id="rId9"/>
    <sheet name="TAX" sheetId="17" r:id="rId10"/>
    <sheet name="FUNDING" sheetId="5" r:id="rId11"/>
    <sheet name="PL" sheetId="10" r:id="rId12"/>
    <sheet name="BALANCE" sheetId="11" r:id="rId13"/>
    <sheet name="CASHFLOW" sheetId="13" r:id="rId14"/>
    <sheet name="PL_INTRAYEAR" sheetId="19" r:id="rId15"/>
    <sheet name="CASHFLOW_INTRAYEAR" sheetId="15"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3" i="3" l="1"/>
  <c r="P6" i="15"/>
  <c r="P7" i="15"/>
  <c r="P8" i="15"/>
  <c r="P9" i="15"/>
  <c r="P10" i="15"/>
  <c r="P11" i="15"/>
  <c r="P12" i="15"/>
  <c r="P13" i="15"/>
  <c r="P14" i="15"/>
  <c r="P15" i="15"/>
  <c r="P16" i="15"/>
  <c r="P17" i="15"/>
  <c r="P18" i="15"/>
  <c r="P19" i="15"/>
  <c r="P20" i="15"/>
  <c r="P21" i="15"/>
  <c r="P22" i="15"/>
  <c r="P23" i="15"/>
  <c r="P24" i="15"/>
  <c r="P25" i="15"/>
  <c r="P26" i="15"/>
  <c r="P27" i="15"/>
  <c r="P28" i="15"/>
  <c r="P5" i="15"/>
  <c r="P5" i="19"/>
  <c r="P6" i="19"/>
  <c r="P7" i="19"/>
  <c r="P8" i="19"/>
  <c r="P9" i="19"/>
  <c r="P10" i="19"/>
  <c r="P11" i="19"/>
  <c r="P12" i="19"/>
  <c r="P13" i="19"/>
  <c r="P14" i="19"/>
  <c r="P15" i="19"/>
  <c r="P16" i="19"/>
  <c r="P17" i="19"/>
  <c r="P18" i="19"/>
  <c r="P19" i="19"/>
  <c r="P20" i="19"/>
  <c r="P21" i="19"/>
  <c r="P22" i="19"/>
  <c r="P23" i="19"/>
  <c r="P24" i="19"/>
  <c r="P25" i="19"/>
  <c r="P26" i="19"/>
  <c r="P27" i="19"/>
  <c r="P28" i="19"/>
  <c r="P4" i="19"/>
  <c r="C26" i="15" l="1"/>
  <c r="D26" i="15"/>
  <c r="E26" i="15"/>
  <c r="F26" i="15"/>
  <c r="G26" i="15"/>
  <c r="H26" i="15"/>
  <c r="I26" i="15"/>
  <c r="J26" i="15"/>
  <c r="K26" i="15"/>
  <c r="L26" i="15"/>
  <c r="M25" i="15"/>
  <c r="N25" i="15" s="1"/>
  <c r="M16" i="15"/>
  <c r="M17" i="15" s="1"/>
  <c r="L16" i="15"/>
  <c r="L17" i="15" s="1"/>
  <c r="K16" i="15"/>
  <c r="K17" i="15" s="1"/>
  <c r="J16" i="15"/>
  <c r="J17" i="15" s="1"/>
  <c r="I16" i="15"/>
  <c r="I17" i="15" s="1"/>
  <c r="H16" i="15"/>
  <c r="H17" i="15" s="1"/>
  <c r="G16" i="15"/>
  <c r="G17" i="15" s="1"/>
  <c r="F16" i="15"/>
  <c r="F17" i="15" s="1"/>
  <c r="E16" i="15"/>
  <c r="E17" i="15" s="1"/>
  <c r="D16" i="15"/>
  <c r="D17" i="15" s="1"/>
  <c r="C16" i="15"/>
  <c r="C17" i="15" s="1"/>
  <c r="B16" i="15"/>
  <c r="B17" i="15" s="1"/>
  <c r="C70" i="8"/>
  <c r="C69" i="8"/>
  <c r="C65" i="8"/>
  <c r="C61" i="8"/>
  <c r="C57" i="8"/>
  <c r="N16" i="15" l="1"/>
  <c r="N17" i="15"/>
  <c r="M18" i="19" l="1"/>
  <c r="L18" i="19"/>
  <c r="K18" i="19"/>
  <c r="J18" i="19"/>
  <c r="I18" i="19"/>
  <c r="H18" i="19"/>
  <c r="G18" i="19"/>
  <c r="F18" i="19"/>
  <c r="E18" i="19"/>
  <c r="D18" i="19"/>
  <c r="C18" i="19"/>
  <c r="B18" i="19"/>
  <c r="N18" i="19" s="1"/>
  <c r="C38" i="7"/>
  <c r="C34" i="7"/>
  <c r="C30" i="7"/>
  <c r="C26" i="7"/>
  <c r="C39" i="7" s="1"/>
  <c r="C115" i="2" l="1"/>
  <c r="D115" i="2"/>
  <c r="E115" i="2"/>
  <c r="F115" i="2"/>
  <c r="B115" i="2"/>
  <c r="D18" i="9" l="1"/>
  <c r="E18" i="9"/>
  <c r="F18" i="9"/>
  <c r="G18" i="9"/>
  <c r="C18" i="9"/>
  <c r="D27" i="13"/>
  <c r="E27" i="13"/>
  <c r="F27" i="13"/>
  <c r="G27" i="13"/>
  <c r="C27" i="13"/>
  <c r="O25" i="15" s="1"/>
  <c r="D24" i="13"/>
  <c r="F24" i="13"/>
  <c r="C24" i="13"/>
  <c r="O24" i="15" s="1"/>
  <c r="D22" i="13"/>
  <c r="F22" i="13"/>
  <c r="C22" i="13"/>
  <c r="D29" i="11"/>
  <c r="C25" i="11"/>
  <c r="D25" i="11"/>
  <c r="E25" i="11"/>
  <c r="F25" i="11"/>
  <c r="G25" i="11"/>
  <c r="B25" i="11"/>
  <c r="C22" i="11"/>
  <c r="D22" i="11"/>
  <c r="E22" i="11"/>
  <c r="F22" i="11"/>
  <c r="G22" i="11"/>
  <c r="B22" i="11"/>
  <c r="C19" i="11"/>
  <c r="D19" i="11"/>
  <c r="E19" i="11"/>
  <c r="F19" i="11"/>
  <c r="G19" i="11"/>
  <c r="B19" i="11"/>
  <c r="B23" i="11" s="1"/>
  <c r="B9" i="11"/>
  <c r="B30" i="15" s="1"/>
  <c r="D47" i="5"/>
  <c r="F47" i="5"/>
  <c r="D46" i="5"/>
  <c r="D48" i="5" s="1"/>
  <c r="D25" i="10" s="1"/>
  <c r="E46" i="5"/>
  <c r="F46" i="5"/>
  <c r="F48" i="5" s="1"/>
  <c r="F25" i="10" s="1"/>
  <c r="G46" i="5"/>
  <c r="C46" i="5"/>
  <c r="D31" i="5"/>
  <c r="E31" i="5"/>
  <c r="E24" i="13" s="1"/>
  <c r="F31" i="5"/>
  <c r="G31" i="5"/>
  <c r="G24" i="13" s="1"/>
  <c r="C31" i="5"/>
  <c r="D28" i="5"/>
  <c r="D23" i="13" s="1"/>
  <c r="E28" i="5"/>
  <c r="E23" i="13" s="1"/>
  <c r="F28" i="5"/>
  <c r="F34" i="5" s="1"/>
  <c r="G28" i="5"/>
  <c r="G23" i="13" s="1"/>
  <c r="C28" i="5"/>
  <c r="D24" i="5"/>
  <c r="E24" i="5"/>
  <c r="E22" i="13" s="1"/>
  <c r="F24" i="5"/>
  <c r="G24" i="5"/>
  <c r="G22" i="13" s="1"/>
  <c r="C24" i="5"/>
  <c r="C33" i="5"/>
  <c r="C47" i="5" s="1"/>
  <c r="C48" i="5" s="1"/>
  <c r="D33" i="5"/>
  <c r="E33" i="5"/>
  <c r="E47" i="5" s="1"/>
  <c r="F33" i="5"/>
  <c r="G33" i="5"/>
  <c r="G47" i="5" s="1"/>
  <c r="B33" i="5"/>
  <c r="C16" i="5"/>
  <c r="D17" i="5" s="1"/>
  <c r="D26" i="13" s="1"/>
  <c r="D16" i="5"/>
  <c r="E16" i="5"/>
  <c r="E17" i="5" s="1"/>
  <c r="E26" i="13" s="1"/>
  <c r="F16" i="5"/>
  <c r="F29" i="11" s="1"/>
  <c r="G16" i="5"/>
  <c r="G17" i="5" s="1"/>
  <c r="G26" i="13" s="1"/>
  <c r="B16" i="5"/>
  <c r="B29" i="11" s="1"/>
  <c r="C10" i="5"/>
  <c r="C28" i="11" s="1"/>
  <c r="D10" i="5"/>
  <c r="D19" i="5" s="1"/>
  <c r="D36" i="5" s="1"/>
  <c r="E10" i="5"/>
  <c r="E19" i="5" s="1"/>
  <c r="E36" i="5" s="1"/>
  <c r="F10" i="5"/>
  <c r="F19" i="5" s="1"/>
  <c r="F36" i="5" s="1"/>
  <c r="G10" i="5"/>
  <c r="G19" i="5" s="1"/>
  <c r="G36" i="5" s="1"/>
  <c r="B10" i="5"/>
  <c r="B19" i="5" s="1"/>
  <c r="B36" i="5" s="1"/>
  <c r="D36" i="9"/>
  <c r="E36" i="9"/>
  <c r="F36" i="9"/>
  <c r="G36" i="9"/>
  <c r="C36" i="9"/>
  <c r="D30" i="9"/>
  <c r="E30" i="9"/>
  <c r="F30" i="9"/>
  <c r="G30" i="9"/>
  <c r="C30" i="9"/>
  <c r="D24" i="9"/>
  <c r="E24" i="9"/>
  <c r="F24" i="9"/>
  <c r="G24" i="9"/>
  <c r="C24" i="9"/>
  <c r="D17" i="9"/>
  <c r="E17" i="9"/>
  <c r="F17" i="9"/>
  <c r="G17" i="9"/>
  <c r="C17" i="9"/>
  <c r="D11" i="9"/>
  <c r="E11" i="9"/>
  <c r="F11" i="9"/>
  <c r="G11" i="9"/>
  <c r="C11" i="9"/>
  <c r="G48" i="5" l="1"/>
  <c r="G25" i="10" s="1"/>
  <c r="E48" i="5"/>
  <c r="E25" i="10" s="1"/>
  <c r="C25" i="10"/>
  <c r="O22" i="19" s="1"/>
  <c r="C22" i="19"/>
  <c r="E22" i="19"/>
  <c r="G22" i="19"/>
  <c r="I22" i="19"/>
  <c r="K22" i="19"/>
  <c r="M22" i="19"/>
  <c r="D22" i="19"/>
  <c r="F22" i="19"/>
  <c r="H22" i="19"/>
  <c r="J22" i="19"/>
  <c r="L22" i="19"/>
  <c r="B22" i="19"/>
  <c r="N22" i="19" s="1"/>
  <c r="C23" i="13"/>
  <c r="O23" i="15" s="1"/>
  <c r="M23" i="15"/>
  <c r="B23" i="15"/>
  <c r="G34" i="5"/>
  <c r="E34" i="5"/>
  <c r="G29" i="11"/>
  <c r="O20" i="15"/>
  <c r="O22" i="15"/>
  <c r="F23" i="13"/>
  <c r="B22" i="15"/>
  <c r="N22" i="15" s="1"/>
  <c r="M22" i="15"/>
  <c r="B24" i="15"/>
  <c r="N24" i="15" s="1"/>
  <c r="M24" i="15"/>
  <c r="C29" i="11"/>
  <c r="E29" i="11"/>
  <c r="F28" i="11"/>
  <c r="D28" i="11"/>
  <c r="G28" i="11"/>
  <c r="E28" i="11"/>
  <c r="C11" i="5"/>
  <c r="B28" i="11"/>
  <c r="B31" i="11" s="1"/>
  <c r="B32" i="11" s="1"/>
  <c r="B33" i="13"/>
  <c r="C32" i="13" s="1"/>
  <c r="O30" i="15" s="1"/>
  <c r="B13" i="11"/>
  <c r="C34" i="5"/>
  <c r="D34" i="5"/>
  <c r="G11" i="5"/>
  <c r="G25" i="13" s="1"/>
  <c r="G28" i="13" s="1"/>
  <c r="E11" i="5"/>
  <c r="E25" i="13" s="1"/>
  <c r="E28" i="13" s="1"/>
  <c r="C17" i="5"/>
  <c r="F17" i="5"/>
  <c r="F26" i="13" s="1"/>
  <c r="C19" i="5"/>
  <c r="C36" i="5" s="1"/>
  <c r="F11" i="5"/>
  <c r="F25" i="13" s="1"/>
  <c r="F28" i="13" s="1"/>
  <c r="D11" i="5"/>
  <c r="D25" i="13" s="1"/>
  <c r="D28" i="13" s="1"/>
  <c r="G41" i="8"/>
  <c r="F40" i="8"/>
  <c r="G40" i="8" s="1"/>
  <c r="E39" i="8"/>
  <c r="D38" i="8"/>
  <c r="C37" i="8"/>
  <c r="C36" i="8"/>
  <c r="C42" i="8" s="1"/>
  <c r="G31" i="8"/>
  <c r="F30" i="8"/>
  <c r="G30" i="8" s="1"/>
  <c r="E29" i="8"/>
  <c r="D28" i="8"/>
  <c r="C27" i="8"/>
  <c r="D26" i="8"/>
  <c r="C26" i="8"/>
  <c r="C32" i="8" s="1"/>
  <c r="G21" i="8"/>
  <c r="F20" i="8"/>
  <c r="G20" i="8" s="1"/>
  <c r="E19" i="8"/>
  <c r="F19" i="8" s="1"/>
  <c r="D18" i="8"/>
  <c r="C17" i="8"/>
  <c r="D17" i="8" s="1"/>
  <c r="C16" i="8"/>
  <c r="D16" i="8" s="1"/>
  <c r="C11" i="8"/>
  <c r="D11" i="8"/>
  <c r="E11" i="8"/>
  <c r="F11" i="8"/>
  <c r="G11" i="8"/>
  <c r="B11" i="8"/>
  <c r="B48" i="8" s="1"/>
  <c r="B49" i="8" s="1"/>
  <c r="B14" i="11" s="1"/>
  <c r="B15" i="11" s="1"/>
  <c r="D17" i="7"/>
  <c r="E17" i="7"/>
  <c r="F17" i="7"/>
  <c r="G17" i="7"/>
  <c r="C17" i="7"/>
  <c r="D10" i="7"/>
  <c r="E10" i="7"/>
  <c r="F10" i="7"/>
  <c r="G10" i="7"/>
  <c r="C10" i="7"/>
  <c r="E106" i="16"/>
  <c r="D105" i="16"/>
  <c r="D106" i="16" s="1"/>
  <c r="E105" i="16"/>
  <c r="F105" i="16"/>
  <c r="F106" i="16" s="1"/>
  <c r="G105" i="16"/>
  <c r="G106" i="16" s="1"/>
  <c r="C105" i="16"/>
  <c r="C106" i="16" s="1"/>
  <c r="D98" i="16"/>
  <c r="E98" i="16"/>
  <c r="F98" i="16"/>
  <c r="G98" i="16"/>
  <c r="C98" i="16"/>
  <c r="C90" i="16"/>
  <c r="G89" i="16"/>
  <c r="G90" i="16" s="1"/>
  <c r="F89" i="16"/>
  <c r="F90" i="16" s="1"/>
  <c r="E89" i="16"/>
  <c r="E90" i="16" s="1"/>
  <c r="D89" i="16"/>
  <c r="D90" i="16" s="1"/>
  <c r="C89" i="16"/>
  <c r="G82" i="16"/>
  <c r="G83" i="16" s="1"/>
  <c r="F82" i="16"/>
  <c r="E82" i="16"/>
  <c r="E83" i="16" s="1"/>
  <c r="D82" i="16"/>
  <c r="C82" i="16"/>
  <c r="C83" i="16" s="1"/>
  <c r="G73" i="16"/>
  <c r="G74" i="16" s="1"/>
  <c r="F73" i="16"/>
  <c r="F74" i="16" s="1"/>
  <c r="E73" i="16"/>
  <c r="E74" i="16" s="1"/>
  <c r="D73" i="16"/>
  <c r="D74" i="16" s="1"/>
  <c r="C73" i="16"/>
  <c r="C74" i="16" s="1"/>
  <c r="G66" i="16"/>
  <c r="G67" i="16" s="1"/>
  <c r="F66" i="16"/>
  <c r="F67" i="16" s="1"/>
  <c r="E66" i="16"/>
  <c r="E67" i="16" s="1"/>
  <c r="D66" i="16"/>
  <c r="D67" i="16" s="1"/>
  <c r="C66" i="16"/>
  <c r="D57" i="16"/>
  <c r="D58" i="16" s="1"/>
  <c r="E57" i="16"/>
  <c r="E58" i="16" s="1"/>
  <c r="F57" i="16"/>
  <c r="F58" i="16" s="1"/>
  <c r="G57" i="16"/>
  <c r="G58" i="16" s="1"/>
  <c r="C57" i="16"/>
  <c r="C58" i="16" s="1"/>
  <c r="D50" i="16"/>
  <c r="E50" i="16"/>
  <c r="F50" i="16"/>
  <c r="G50" i="16"/>
  <c r="C50" i="16"/>
  <c r="D38" i="16"/>
  <c r="E38" i="16"/>
  <c r="F38" i="16"/>
  <c r="G38" i="16"/>
  <c r="C38" i="16"/>
  <c r="C39" i="16" s="1"/>
  <c r="D26" i="16"/>
  <c r="E26" i="16"/>
  <c r="F26" i="16"/>
  <c r="G26" i="16"/>
  <c r="C26" i="16"/>
  <c r="C27" i="16" s="1"/>
  <c r="D13" i="16"/>
  <c r="D14" i="16" s="1"/>
  <c r="E13" i="16"/>
  <c r="F13" i="16"/>
  <c r="G13" i="16"/>
  <c r="C13" i="16"/>
  <c r="C23" i="3"/>
  <c r="D23" i="3"/>
  <c r="E23" i="3"/>
  <c r="F23" i="3"/>
  <c r="B23" i="3"/>
  <c r="C18" i="3"/>
  <c r="D18" i="3"/>
  <c r="E18" i="3"/>
  <c r="F18" i="3"/>
  <c r="B18" i="3"/>
  <c r="C13" i="3"/>
  <c r="E13" i="3"/>
  <c r="F13" i="3"/>
  <c r="B13" i="3"/>
  <c r="C8" i="3"/>
  <c r="D8" i="3"/>
  <c r="E8" i="3"/>
  <c r="F8" i="3"/>
  <c r="B8" i="3"/>
  <c r="C26" i="4"/>
  <c r="D26" i="4"/>
  <c r="E26" i="4"/>
  <c r="F26" i="4"/>
  <c r="B26" i="4"/>
  <c r="C17" i="4"/>
  <c r="D17" i="4"/>
  <c r="E17" i="4"/>
  <c r="F17" i="4"/>
  <c r="B17" i="4"/>
  <c r="C8" i="4"/>
  <c r="D8" i="4"/>
  <c r="E8" i="4"/>
  <c r="F8" i="4"/>
  <c r="B8" i="4"/>
  <c r="C27" i="4"/>
  <c r="D27" i="4"/>
  <c r="E27" i="4"/>
  <c r="F27" i="4"/>
  <c r="C18" i="4"/>
  <c r="C19" i="4" s="1"/>
  <c r="D18" i="4"/>
  <c r="D19" i="4" s="1"/>
  <c r="E18" i="4"/>
  <c r="E19" i="4" s="1"/>
  <c r="F18" i="4"/>
  <c r="F19" i="4" s="1"/>
  <c r="B27" i="4"/>
  <c r="B18" i="4"/>
  <c r="C9" i="4"/>
  <c r="D9" i="4"/>
  <c r="E9" i="4"/>
  <c r="F9" i="4"/>
  <c r="B9" i="4"/>
  <c r="C34" i="3"/>
  <c r="D34" i="3"/>
  <c r="E34" i="3"/>
  <c r="F34" i="3"/>
  <c r="C38" i="3"/>
  <c r="D38" i="3"/>
  <c r="E38" i="3"/>
  <c r="F38" i="3"/>
  <c r="C42" i="3"/>
  <c r="D42" i="3"/>
  <c r="E42" i="3"/>
  <c r="F42" i="3"/>
  <c r="C46" i="3"/>
  <c r="D46" i="3"/>
  <c r="E46" i="3"/>
  <c r="F46" i="3"/>
  <c r="C47" i="3"/>
  <c r="D47" i="3"/>
  <c r="E47" i="3"/>
  <c r="F47" i="3"/>
  <c r="B34" i="3"/>
  <c r="B46" i="3"/>
  <c r="B42" i="3"/>
  <c r="B38" i="3"/>
  <c r="E102" i="2" l="1"/>
  <c r="C28" i="4"/>
  <c r="D102" i="2"/>
  <c r="B37" i="4"/>
  <c r="N23" i="15"/>
  <c r="B10" i="4"/>
  <c r="D28" i="4"/>
  <c r="C10" i="4"/>
  <c r="B20" i="15"/>
  <c r="M20" i="15"/>
  <c r="C25" i="13"/>
  <c r="B21" i="15"/>
  <c r="M21" i="15"/>
  <c r="C26" i="13"/>
  <c r="G18" i="13"/>
  <c r="G19" i="13" s="1"/>
  <c r="E18" i="13"/>
  <c r="E19" i="13" s="1"/>
  <c r="C18" i="13"/>
  <c r="C48" i="8"/>
  <c r="E17" i="8"/>
  <c r="F17" i="8" s="1"/>
  <c r="G17" i="8" s="1"/>
  <c r="F18" i="13"/>
  <c r="F19" i="13" s="1"/>
  <c r="D48" i="8"/>
  <c r="E48" i="8" s="1"/>
  <c r="F48" i="8" s="1"/>
  <c r="G48" i="8" s="1"/>
  <c r="D18" i="13"/>
  <c r="D19" i="13" s="1"/>
  <c r="D22" i="8"/>
  <c r="D6" i="6" s="1"/>
  <c r="E28" i="8"/>
  <c r="F28" i="8" s="1"/>
  <c r="G28" i="8" s="1"/>
  <c r="F29" i="8"/>
  <c r="G29" i="8" s="1"/>
  <c r="D36" i="8"/>
  <c r="G18" i="7"/>
  <c r="G21" i="10" s="1"/>
  <c r="E18" i="7"/>
  <c r="E21" i="10" s="1"/>
  <c r="E10" i="4"/>
  <c r="E25" i="3"/>
  <c r="E56" i="3" s="1"/>
  <c r="F28" i="4"/>
  <c r="E28" i="4"/>
  <c r="B28" i="4"/>
  <c r="F10" i="4"/>
  <c r="C25" i="3"/>
  <c r="C59" i="3" s="1"/>
  <c r="B25" i="3"/>
  <c r="C12" i="8" s="1"/>
  <c r="F39" i="8"/>
  <c r="G39" i="8" s="1"/>
  <c r="E38" i="8"/>
  <c r="F38" i="8" s="1"/>
  <c r="G99" i="16"/>
  <c r="G100" i="16" s="1"/>
  <c r="G107" i="16" s="1"/>
  <c r="F33" i="4" s="1"/>
  <c r="F102" i="2" s="1"/>
  <c r="E99" i="16"/>
  <c r="E100" i="16" s="1"/>
  <c r="E107" i="16" s="1"/>
  <c r="D33" i="4" s="1"/>
  <c r="C99" i="16"/>
  <c r="C100" i="16" s="1"/>
  <c r="C107" i="16" s="1"/>
  <c r="B33" i="4" s="1"/>
  <c r="B102" i="2" s="1"/>
  <c r="F99" i="16"/>
  <c r="F100" i="16" s="1"/>
  <c r="F107" i="16" s="1"/>
  <c r="E33" i="4" s="1"/>
  <c r="D99" i="16"/>
  <c r="D100" i="16" s="1"/>
  <c r="D107" i="16" s="1"/>
  <c r="C33" i="4" s="1"/>
  <c r="C102" i="2" s="1"/>
  <c r="G112" i="16"/>
  <c r="F83" i="16"/>
  <c r="F84" i="16" s="1"/>
  <c r="F91" i="16" s="1"/>
  <c r="E29" i="4" s="1"/>
  <c r="D83" i="16"/>
  <c r="D84" i="16" s="1"/>
  <c r="D91" i="16" s="1"/>
  <c r="C29" i="4" s="1"/>
  <c r="C67" i="16"/>
  <c r="C68" i="16" s="1"/>
  <c r="C75" i="16" s="1"/>
  <c r="B20" i="4" s="1"/>
  <c r="G51" i="16"/>
  <c r="G52" i="16" s="1"/>
  <c r="G59" i="16" s="1"/>
  <c r="F11" i="4" s="1"/>
  <c r="F12" i="4" s="1"/>
  <c r="F99" i="2" s="1"/>
  <c r="E51" i="16"/>
  <c r="E52" i="16" s="1"/>
  <c r="E59" i="16" s="1"/>
  <c r="D11" i="4" s="1"/>
  <c r="F51" i="16"/>
  <c r="F52" i="16" s="1"/>
  <c r="F59" i="16" s="1"/>
  <c r="E11" i="4" s="1"/>
  <c r="D51" i="16"/>
  <c r="D52" i="16" s="1"/>
  <c r="D59" i="16" s="1"/>
  <c r="C11" i="4" s="1"/>
  <c r="C51" i="16"/>
  <c r="C52" i="16" s="1"/>
  <c r="C59" i="16" s="1"/>
  <c r="F39" i="16"/>
  <c r="F40" i="16" s="1"/>
  <c r="D39" i="16"/>
  <c r="G39" i="16"/>
  <c r="G40" i="16" s="1"/>
  <c r="E39" i="16"/>
  <c r="E40" i="16" s="1"/>
  <c r="C40" i="16"/>
  <c r="C23" i="6" s="1"/>
  <c r="C32" i="6" s="1"/>
  <c r="F27" i="16"/>
  <c r="F28" i="16" s="1"/>
  <c r="D27" i="16"/>
  <c r="D28" i="16" s="1"/>
  <c r="F112" i="16"/>
  <c r="F113" i="16" s="1"/>
  <c r="G27" i="16"/>
  <c r="G28" i="16" s="1"/>
  <c r="E27" i="16"/>
  <c r="E28" i="16" s="1"/>
  <c r="E14" i="6" s="1"/>
  <c r="C28" i="16"/>
  <c r="C14" i="6" s="1"/>
  <c r="C112" i="16"/>
  <c r="C14" i="16"/>
  <c r="C15" i="16" s="1"/>
  <c r="C5" i="6" s="1"/>
  <c r="G14" i="16"/>
  <c r="F14" i="16"/>
  <c r="E112" i="16"/>
  <c r="E14" i="16"/>
  <c r="D15" i="16"/>
  <c r="D112" i="16"/>
  <c r="D113" i="16" s="1"/>
  <c r="F18" i="7"/>
  <c r="F21" i="10" s="1"/>
  <c r="D18" i="7"/>
  <c r="D21" i="10" s="1"/>
  <c r="C18" i="7"/>
  <c r="C21" i="10" s="1"/>
  <c r="O18" i="19" s="1"/>
  <c r="B19" i="4"/>
  <c r="D10" i="4"/>
  <c r="C57" i="3"/>
  <c r="C61" i="3"/>
  <c r="C65" i="3"/>
  <c r="C69" i="3"/>
  <c r="D18" i="6"/>
  <c r="G19" i="8"/>
  <c r="C22" i="8"/>
  <c r="E16" i="8"/>
  <c r="E18" i="8"/>
  <c r="E26" i="8"/>
  <c r="D27" i="8"/>
  <c r="E27" i="8" s="1"/>
  <c r="E36" i="8"/>
  <c r="D37" i="8"/>
  <c r="D42" i="8" s="1"/>
  <c r="E68" i="16"/>
  <c r="E75" i="16" s="1"/>
  <c r="G68" i="16"/>
  <c r="G75" i="16" s="1"/>
  <c r="C84" i="16"/>
  <c r="C91" i="16" s="1"/>
  <c r="B29" i="4" s="1"/>
  <c r="E84" i="16"/>
  <c r="E91" i="16" s="1"/>
  <c r="D29" i="4" s="1"/>
  <c r="D30" i="4" s="1"/>
  <c r="D101" i="2" s="1"/>
  <c r="G84" i="16"/>
  <c r="G91" i="16" s="1"/>
  <c r="F29" i="4" s="1"/>
  <c r="D68" i="16"/>
  <c r="D75" i="16" s="1"/>
  <c r="F68" i="16"/>
  <c r="F75" i="16" s="1"/>
  <c r="D9" i="6"/>
  <c r="F25" i="3"/>
  <c r="F5" i="2" s="1"/>
  <c r="D25" i="3"/>
  <c r="B47" i="3"/>
  <c r="C19" i="13" l="1"/>
  <c r="O17" i="15" s="1"/>
  <c r="O16" i="15"/>
  <c r="B30" i="4"/>
  <c r="B101" i="2" s="1"/>
  <c r="D6" i="17"/>
  <c r="C55" i="3"/>
  <c r="C67" i="3"/>
  <c r="C63" i="3"/>
  <c r="C30" i="4"/>
  <c r="C101" i="2" s="1"/>
  <c r="B61" i="3"/>
  <c r="H4" i="19" s="1"/>
  <c r="E55" i="3"/>
  <c r="F30" i="4"/>
  <c r="F101" i="2" s="1"/>
  <c r="F15" i="6"/>
  <c r="E63" i="3"/>
  <c r="F7" i="10"/>
  <c r="E67" i="3"/>
  <c r="F86" i="9" s="1"/>
  <c r="F25" i="9" s="1"/>
  <c r="E59" i="3"/>
  <c r="F9" i="6"/>
  <c r="F18" i="6"/>
  <c r="E69" i="3"/>
  <c r="E65" i="3"/>
  <c r="E61" i="3"/>
  <c r="E57" i="3"/>
  <c r="F26" i="6"/>
  <c r="F27" i="6" s="1"/>
  <c r="F12" i="8"/>
  <c r="F6" i="17"/>
  <c r="E53" i="3"/>
  <c r="E54" i="3"/>
  <c r="E68" i="3"/>
  <c r="E66" i="3"/>
  <c r="E64" i="3"/>
  <c r="E62" i="3"/>
  <c r="E60" i="3"/>
  <c r="E58" i="3"/>
  <c r="E5" i="2"/>
  <c r="M99" i="2"/>
  <c r="D5" i="2"/>
  <c r="L99" i="2"/>
  <c r="C12" i="4"/>
  <c r="C99" i="2" s="1"/>
  <c r="C5" i="2"/>
  <c r="K99" i="2"/>
  <c r="B5" i="2"/>
  <c r="O4" i="19"/>
  <c r="L100" i="2"/>
  <c r="J100" i="2"/>
  <c r="K100" i="2"/>
  <c r="M100" i="2"/>
  <c r="J99" i="2"/>
  <c r="B62" i="3"/>
  <c r="I4" i="19" s="1"/>
  <c r="E12" i="4"/>
  <c r="E99" i="2" s="1"/>
  <c r="M26" i="15"/>
  <c r="N20" i="15"/>
  <c r="O21" i="15"/>
  <c r="C28" i="13"/>
  <c r="O26" i="15" s="1"/>
  <c r="N21" i="15"/>
  <c r="B26" i="15"/>
  <c r="E22" i="8"/>
  <c r="E6" i="6" s="1"/>
  <c r="C45" i="8"/>
  <c r="O6" i="15" s="1"/>
  <c r="C6" i="6"/>
  <c r="E37" i="8"/>
  <c r="F37" i="8" s="1"/>
  <c r="E30" i="4"/>
  <c r="E101" i="2" s="1"/>
  <c r="D15" i="6"/>
  <c r="D26" i="6"/>
  <c r="D12" i="8"/>
  <c r="D7" i="10"/>
  <c r="C53" i="3"/>
  <c r="C54" i="3"/>
  <c r="C68" i="3"/>
  <c r="C66" i="3"/>
  <c r="D102" i="9" s="1"/>
  <c r="D31" i="9" s="1"/>
  <c r="C64" i="3"/>
  <c r="C62" i="3"/>
  <c r="C60" i="3"/>
  <c r="C58" i="3"/>
  <c r="C56" i="3"/>
  <c r="B69" i="3"/>
  <c r="B53" i="3"/>
  <c r="C91" i="9" s="1"/>
  <c r="B11" i="15" s="1"/>
  <c r="B54" i="3"/>
  <c r="C4" i="19" s="1"/>
  <c r="C18" i="6"/>
  <c r="B65" i="3"/>
  <c r="K4" i="19" s="1"/>
  <c r="B57" i="3"/>
  <c r="C110" i="9" s="1"/>
  <c r="B66" i="3"/>
  <c r="L4" i="19" s="1"/>
  <c r="B58" i="3"/>
  <c r="C95" i="9" s="1"/>
  <c r="C9" i="6"/>
  <c r="C10" i="6" s="1"/>
  <c r="C7" i="10"/>
  <c r="C29" i="16"/>
  <c r="B67" i="3"/>
  <c r="C118" i="9" s="1"/>
  <c r="B63" i="3"/>
  <c r="J4" i="19" s="1"/>
  <c r="B59" i="3"/>
  <c r="C48" i="9" s="1"/>
  <c r="B55" i="3"/>
  <c r="D4" i="19" s="1"/>
  <c r="B68" i="3"/>
  <c r="B64" i="3"/>
  <c r="B60" i="3"/>
  <c r="B56" i="3"/>
  <c r="C15" i="6"/>
  <c r="C26" i="6"/>
  <c r="C27" i="6" s="1"/>
  <c r="C28" i="6" s="1"/>
  <c r="D16" i="16"/>
  <c r="C6" i="17"/>
  <c r="B12" i="8"/>
  <c r="C113" i="16"/>
  <c r="B21" i="4"/>
  <c r="B100" i="2" s="1"/>
  <c r="G38" i="8"/>
  <c r="D114" i="16"/>
  <c r="D115" i="16" s="1"/>
  <c r="D12" i="4"/>
  <c r="D99" i="2" s="1"/>
  <c r="B11" i="4"/>
  <c r="B12" i="4" s="1"/>
  <c r="B99" i="2" s="1"/>
  <c r="C119" i="16"/>
  <c r="C120" i="16" s="1"/>
  <c r="E23" i="6"/>
  <c r="E32" i="6" s="1"/>
  <c r="E41" i="16"/>
  <c r="G23" i="6"/>
  <c r="G32" i="6" s="1"/>
  <c r="G41" i="16"/>
  <c r="F23" i="6"/>
  <c r="F32" i="6" s="1"/>
  <c r="F41" i="16"/>
  <c r="D40" i="16"/>
  <c r="D119" i="16" s="1"/>
  <c r="D120" i="16" s="1"/>
  <c r="C41" i="16"/>
  <c r="E114" i="16"/>
  <c r="E115" i="16" s="1"/>
  <c r="E29" i="16"/>
  <c r="F14" i="6"/>
  <c r="F19" i="6" s="1"/>
  <c r="F15" i="10" s="1"/>
  <c r="F29" i="16"/>
  <c r="G14" i="6"/>
  <c r="G29" i="16"/>
  <c r="D14" i="6"/>
  <c r="D29" i="16"/>
  <c r="D19" i="6"/>
  <c r="D15" i="10" s="1"/>
  <c r="G114" i="16"/>
  <c r="G115" i="16" s="1"/>
  <c r="C19" i="6"/>
  <c r="C15" i="10" s="1"/>
  <c r="O12" i="19" s="1"/>
  <c r="C16" i="16"/>
  <c r="C114" i="16"/>
  <c r="C115" i="16" s="1"/>
  <c r="G15" i="16"/>
  <c r="G119" i="16" s="1"/>
  <c r="G120" i="16" s="1"/>
  <c r="G5" i="6"/>
  <c r="F15" i="16"/>
  <c r="F114" i="16"/>
  <c r="F115" i="16" s="1"/>
  <c r="E15" i="16"/>
  <c r="D5" i="6"/>
  <c r="D10" i="6" s="1"/>
  <c r="F56" i="3"/>
  <c r="F58" i="3"/>
  <c r="F60" i="3"/>
  <c r="F62" i="3"/>
  <c r="F64" i="3"/>
  <c r="F66" i="3"/>
  <c r="F68" i="3"/>
  <c r="F54" i="3"/>
  <c r="F53" i="3"/>
  <c r="F57" i="3"/>
  <c r="F59" i="3"/>
  <c r="F61" i="3"/>
  <c r="F63" i="3"/>
  <c r="F65" i="3"/>
  <c r="F67" i="3"/>
  <c r="G118" i="9" s="1"/>
  <c r="G37" i="9" s="1"/>
  <c r="F69" i="3"/>
  <c r="F55" i="3"/>
  <c r="E12" i="8"/>
  <c r="D56" i="3"/>
  <c r="D58" i="3"/>
  <c r="D60" i="3"/>
  <c r="D62" i="3"/>
  <c r="D64" i="3"/>
  <c r="D66" i="3"/>
  <c r="D68" i="3"/>
  <c r="D54" i="3"/>
  <c r="D53" i="3"/>
  <c r="D57" i="3"/>
  <c r="D59" i="3"/>
  <c r="D61" i="3"/>
  <c r="D63" i="3"/>
  <c r="D65" i="3"/>
  <c r="D67" i="3"/>
  <c r="E118" i="9" s="1"/>
  <c r="E37" i="9" s="1"/>
  <c r="D69" i="3"/>
  <c r="D55" i="3"/>
  <c r="G7" i="10"/>
  <c r="G6" i="17"/>
  <c r="G113" i="16"/>
  <c r="G12" i="8"/>
  <c r="E7" i="10"/>
  <c r="E6" i="17"/>
  <c r="E113" i="16"/>
  <c r="C116" i="9"/>
  <c r="C46" i="9"/>
  <c r="C50" i="9"/>
  <c r="D118" i="9"/>
  <c r="D37" i="9" s="1"/>
  <c r="D86" i="9"/>
  <c r="D25" i="9" s="1"/>
  <c r="D70" i="9"/>
  <c r="D19" i="9" s="1"/>
  <c r="D54" i="9"/>
  <c r="D12" i="9" s="1"/>
  <c r="E32" i="8"/>
  <c r="F26" i="8"/>
  <c r="G26" i="8" s="1"/>
  <c r="F16" i="8"/>
  <c r="F27" i="8"/>
  <c r="G27" i="8" s="1"/>
  <c r="D32" i="8"/>
  <c r="D45" i="8" s="1"/>
  <c r="E42" i="8"/>
  <c r="D37" i="4" s="1"/>
  <c r="G37" i="8"/>
  <c r="F36" i="8"/>
  <c r="C46" i="8"/>
  <c r="F18" i="8"/>
  <c r="G18" i="8" s="1"/>
  <c r="C116" i="16"/>
  <c r="C117" i="16" s="1"/>
  <c r="B36" i="4"/>
  <c r="B42" i="4" s="1"/>
  <c r="D116" i="16"/>
  <c r="D117" i="16" s="1"/>
  <c r="C36" i="4"/>
  <c r="C20" i="4"/>
  <c r="C21" i="4" s="1"/>
  <c r="F20" i="4"/>
  <c r="F21" i="4" s="1"/>
  <c r="G116" i="16"/>
  <c r="G117" i="16" s="1"/>
  <c r="F36" i="4"/>
  <c r="F116" i="16"/>
  <c r="F117" i="16" s="1"/>
  <c r="E36" i="4"/>
  <c r="E20" i="4"/>
  <c r="E21" i="4" s="1"/>
  <c r="D20" i="4"/>
  <c r="D21" i="4" s="1"/>
  <c r="D100" i="2" s="1"/>
  <c r="E116" i="16"/>
  <c r="E117" i="16" s="1"/>
  <c r="D36" i="4"/>
  <c r="E15" i="6"/>
  <c r="E26" i="6"/>
  <c r="E27" i="6" s="1"/>
  <c r="E9" i="6"/>
  <c r="E18" i="6"/>
  <c r="G15" i="6"/>
  <c r="G26" i="6"/>
  <c r="G9" i="6"/>
  <c r="G18" i="6"/>
  <c r="G16" i="16" l="1"/>
  <c r="C37" i="4"/>
  <c r="F118" i="9"/>
  <c r="F37" i="9" s="1"/>
  <c r="F38" i="9" s="1"/>
  <c r="F14" i="13" s="1"/>
  <c r="C114" i="9"/>
  <c r="C82" i="9"/>
  <c r="C59" i="9"/>
  <c r="B9" i="15" s="1"/>
  <c r="C93" i="9"/>
  <c r="C65" i="9"/>
  <c r="F54" i="9"/>
  <c r="F12" i="9" s="1"/>
  <c r="L115" i="2" s="1"/>
  <c r="D33" i="6"/>
  <c r="C92" i="9"/>
  <c r="D11" i="15" s="1"/>
  <c r="C69" i="9"/>
  <c r="C113" i="9"/>
  <c r="C67" i="9"/>
  <c r="C49" i="9"/>
  <c r="I8" i="15" s="1"/>
  <c r="C81" i="9"/>
  <c r="C52" i="9"/>
  <c r="C66" i="9"/>
  <c r="C98" i="9"/>
  <c r="F33" i="6"/>
  <c r="F102" i="9"/>
  <c r="F31" i="9" s="1"/>
  <c r="F20" i="11" s="1"/>
  <c r="C61" i="9"/>
  <c r="C99" i="9"/>
  <c r="C60" i="9"/>
  <c r="C44" i="9"/>
  <c r="C101" i="9"/>
  <c r="C84" i="9"/>
  <c r="F70" i="9"/>
  <c r="F19" i="9" s="1"/>
  <c r="E132" i="2" s="1"/>
  <c r="C45" i="9"/>
  <c r="E8" i="15" s="1"/>
  <c r="C77" i="9"/>
  <c r="C109" i="9"/>
  <c r="E12" i="15" s="1"/>
  <c r="C51" i="9"/>
  <c r="J8" i="15" s="1"/>
  <c r="C83" i="9"/>
  <c r="C115" i="9"/>
  <c r="C76" i="9"/>
  <c r="C108" i="9"/>
  <c r="C53" i="9"/>
  <c r="C85" i="9"/>
  <c r="C117" i="9"/>
  <c r="L12" i="15" s="1"/>
  <c r="C68" i="9"/>
  <c r="C100" i="9"/>
  <c r="C33" i="6"/>
  <c r="C97" i="9"/>
  <c r="G4" i="19"/>
  <c r="C102" i="9"/>
  <c r="M4" i="19"/>
  <c r="C111" i="9"/>
  <c r="F12" i="15" s="1"/>
  <c r="F4" i="19"/>
  <c r="C94" i="9"/>
  <c r="E4" i="19"/>
  <c r="C107" i="9"/>
  <c r="B12" i="15" s="1"/>
  <c r="B4" i="19"/>
  <c r="N4" i="19" s="1"/>
  <c r="J11" i="15"/>
  <c r="C37" i="9"/>
  <c r="D38" i="9" s="1"/>
  <c r="D14" i="13" s="1"/>
  <c r="C83" i="6"/>
  <c r="C13" i="19" s="1"/>
  <c r="C85" i="6"/>
  <c r="C87" i="6"/>
  <c r="F13" i="19" s="1"/>
  <c r="C89" i="6"/>
  <c r="C91" i="6"/>
  <c r="I13" i="19" s="1"/>
  <c r="C93" i="6"/>
  <c r="C95" i="6"/>
  <c r="L13" i="19" s="1"/>
  <c r="C97" i="6"/>
  <c r="C82" i="6"/>
  <c r="B13" i="19" s="1"/>
  <c r="C84" i="6"/>
  <c r="D13" i="19" s="1"/>
  <c r="C86" i="6"/>
  <c r="E13" i="19" s="1"/>
  <c r="C88" i="6"/>
  <c r="G13" i="19" s="1"/>
  <c r="C90" i="6"/>
  <c r="H13" i="19" s="1"/>
  <c r="C92" i="6"/>
  <c r="J13" i="19" s="1"/>
  <c r="C94" i="6"/>
  <c r="K13" i="19" s="1"/>
  <c r="C96" i="6"/>
  <c r="M13" i="19" s="1"/>
  <c r="C98" i="6"/>
  <c r="N26" i="15"/>
  <c r="G32" i="8"/>
  <c r="C8" i="13"/>
  <c r="C6" i="15"/>
  <c r="D6" i="15"/>
  <c r="F6" i="15"/>
  <c r="H6" i="15"/>
  <c r="J6" i="15"/>
  <c r="L6" i="15"/>
  <c r="B6" i="15"/>
  <c r="E6" i="15"/>
  <c r="G6" i="15"/>
  <c r="I6" i="15"/>
  <c r="K6" i="15"/>
  <c r="M6" i="15"/>
  <c r="C47" i="8"/>
  <c r="C49" i="8" s="1"/>
  <c r="C14" i="11" s="1"/>
  <c r="C131" i="2"/>
  <c r="J115" i="2"/>
  <c r="C132" i="2"/>
  <c r="J116" i="2"/>
  <c r="F46" i="4"/>
  <c r="F100" i="2"/>
  <c r="E46" i="4"/>
  <c r="E100" i="2"/>
  <c r="C46" i="4"/>
  <c r="C100" i="2"/>
  <c r="C112" i="9"/>
  <c r="C54" i="9"/>
  <c r="C63" i="9"/>
  <c r="C43" i="9"/>
  <c r="B8" i="15" s="1"/>
  <c r="C75" i="9"/>
  <c r="B10" i="15" s="1"/>
  <c r="C78" i="9"/>
  <c r="G102" i="9"/>
  <c r="G31" i="9" s="1"/>
  <c r="E86" i="9"/>
  <c r="E25" i="9" s="1"/>
  <c r="F26" i="9" s="1"/>
  <c r="F12" i="13" s="1"/>
  <c r="C80" i="9"/>
  <c r="C86" i="9"/>
  <c r="C47" i="9"/>
  <c r="F8" i="15" s="1"/>
  <c r="C79" i="9"/>
  <c r="F10" i="15" s="1"/>
  <c r="C62" i="9"/>
  <c r="G70" i="9"/>
  <c r="G19" i="9" s="1"/>
  <c r="G11" i="11" s="1"/>
  <c r="B46" i="4"/>
  <c r="C64" i="9"/>
  <c r="C96" i="9"/>
  <c r="G11" i="15" s="1"/>
  <c r="C70" i="9"/>
  <c r="D20" i="6"/>
  <c r="E54" i="9"/>
  <c r="E12" i="9" s="1"/>
  <c r="E13" i="9" s="1"/>
  <c r="E10" i="13" s="1"/>
  <c r="F21" i="11"/>
  <c r="D21" i="11"/>
  <c r="G21" i="11"/>
  <c r="E38" i="9"/>
  <c r="E14" i="13" s="1"/>
  <c r="E21" i="11"/>
  <c r="G27" i="6"/>
  <c r="G16" i="10" s="1"/>
  <c r="D46" i="8"/>
  <c r="D8" i="13"/>
  <c r="E45" i="8"/>
  <c r="D46" i="4"/>
  <c r="B45" i="4"/>
  <c r="B3" i="2" s="1"/>
  <c r="D23" i="6"/>
  <c r="D41" i="16"/>
  <c r="C20" i="6"/>
  <c r="F20" i="6"/>
  <c r="F119" i="16"/>
  <c r="F120" i="16" s="1"/>
  <c r="F5" i="6"/>
  <c r="F16" i="16"/>
  <c r="E119" i="16"/>
  <c r="E120" i="16" s="1"/>
  <c r="E5" i="6"/>
  <c r="E16" i="16"/>
  <c r="D14" i="10"/>
  <c r="D11" i="6"/>
  <c r="E102" i="9"/>
  <c r="E31" i="9" s="1"/>
  <c r="E32" i="9" s="1"/>
  <c r="E13" i="13" s="1"/>
  <c r="G54" i="9"/>
  <c r="G12" i="9" s="1"/>
  <c r="G86" i="9"/>
  <c r="G25" i="9" s="1"/>
  <c r="G26" i="9" s="1"/>
  <c r="G12" i="13" s="1"/>
  <c r="E70" i="9"/>
  <c r="E19" i="9" s="1"/>
  <c r="G28" i="6"/>
  <c r="F28" i="6"/>
  <c r="F16" i="10"/>
  <c r="E28" i="6"/>
  <c r="E16" i="10"/>
  <c r="F12" i="11"/>
  <c r="D10" i="11"/>
  <c r="D12" i="11"/>
  <c r="C16" i="10"/>
  <c r="O13" i="19" s="1"/>
  <c r="C11" i="6"/>
  <c r="C14" i="10"/>
  <c r="O11" i="19" s="1"/>
  <c r="D11" i="11"/>
  <c r="D20" i="11"/>
  <c r="F22" i="8"/>
  <c r="F6" i="6" s="1"/>
  <c r="F42" i="8"/>
  <c r="G36" i="8"/>
  <c r="G42" i="8" s="1"/>
  <c r="G16" i="8"/>
  <c r="G22" i="8" s="1"/>
  <c r="G6" i="6" s="1"/>
  <c r="F32" i="8"/>
  <c r="D42" i="4"/>
  <c r="D45" i="4"/>
  <c r="D3" i="2" s="1"/>
  <c r="C45" i="4"/>
  <c r="C42" i="4"/>
  <c r="C31" i="6"/>
  <c r="O14" i="19" s="1"/>
  <c r="G10" i="6"/>
  <c r="G14" i="10" s="1"/>
  <c r="G33" i="6"/>
  <c r="G19" i="6"/>
  <c r="E10" i="6"/>
  <c r="E14" i="10" s="1"/>
  <c r="E33" i="6"/>
  <c r="E19" i="6"/>
  <c r="F10" i="6" l="1"/>
  <c r="F11" i="6" s="1"/>
  <c r="F37" i="4"/>
  <c r="D47" i="8"/>
  <c r="G38" i="9"/>
  <c r="G14" i="13" s="1"/>
  <c r="E131" i="2"/>
  <c r="I10" i="15"/>
  <c r="I12" i="15"/>
  <c r="C21" i="11"/>
  <c r="K8" i="15"/>
  <c r="F11" i="11"/>
  <c r="J12" i="15"/>
  <c r="L9" i="15"/>
  <c r="C9" i="15"/>
  <c r="C11" i="15"/>
  <c r="E11" i="15"/>
  <c r="J10" i="15"/>
  <c r="I11" i="15"/>
  <c r="F10" i="11"/>
  <c r="C4" i="2"/>
  <c r="H8" i="15"/>
  <c r="L8" i="15"/>
  <c r="I9" i="15"/>
  <c r="G9" i="15"/>
  <c r="J9" i="15"/>
  <c r="L10" i="15"/>
  <c r="L11" i="15"/>
  <c r="E9" i="15"/>
  <c r="M12" i="15"/>
  <c r="D10" i="15"/>
  <c r="K10" i="15"/>
  <c r="K11" i="15"/>
  <c r="L116" i="2"/>
  <c r="E4" i="2"/>
  <c r="C12" i="15"/>
  <c r="G10" i="15"/>
  <c r="G12" i="15"/>
  <c r="K12" i="15"/>
  <c r="G32" i="9"/>
  <c r="G13" i="13" s="1"/>
  <c r="D8" i="15"/>
  <c r="D9" i="15"/>
  <c r="G20" i="11"/>
  <c r="G23" i="11" s="1"/>
  <c r="M84" i="2" s="1"/>
  <c r="F23" i="11"/>
  <c r="L84" i="2" s="1"/>
  <c r="E10" i="15"/>
  <c r="F11" i="15"/>
  <c r="K9" i="15"/>
  <c r="D12" i="15"/>
  <c r="C19" i="9"/>
  <c r="C11" i="11" s="1"/>
  <c r="M9" i="15"/>
  <c r="F9" i="15"/>
  <c r="H9" i="15"/>
  <c r="C38" i="9"/>
  <c r="C14" i="13" s="1"/>
  <c r="O12" i="15" s="1"/>
  <c r="B4" i="2"/>
  <c r="C25" i="9"/>
  <c r="C12" i="11" s="1"/>
  <c r="M10" i="15"/>
  <c r="C12" i="9"/>
  <c r="C10" i="11" s="1"/>
  <c r="M8" i="15"/>
  <c r="H10" i="15"/>
  <c r="C8" i="15"/>
  <c r="G8" i="15"/>
  <c r="C10" i="15"/>
  <c r="C31" i="9"/>
  <c r="M11" i="15"/>
  <c r="H11" i="15"/>
  <c r="H12" i="15"/>
  <c r="N13" i="19"/>
  <c r="C61" i="6"/>
  <c r="B12" i="19" s="1"/>
  <c r="C62" i="6"/>
  <c r="C12" i="19" s="1"/>
  <c r="C64" i="6"/>
  <c r="C66" i="6"/>
  <c r="F12" i="19" s="1"/>
  <c r="C68" i="6"/>
  <c r="C70" i="6"/>
  <c r="I12" i="19" s="1"/>
  <c r="C72" i="6"/>
  <c r="C74" i="6"/>
  <c r="L12" i="19" s="1"/>
  <c r="C76" i="6"/>
  <c r="C63" i="6"/>
  <c r="D12" i="19" s="1"/>
  <c r="C65" i="6"/>
  <c r="E12" i="19" s="1"/>
  <c r="C67" i="6"/>
  <c r="G12" i="19" s="1"/>
  <c r="C69" i="6"/>
  <c r="H12" i="19" s="1"/>
  <c r="C71" i="6"/>
  <c r="J12" i="19" s="1"/>
  <c r="C73" i="6"/>
  <c r="K12" i="19" s="1"/>
  <c r="C75" i="6"/>
  <c r="M12" i="19" s="1"/>
  <c r="C77" i="6"/>
  <c r="E37" i="4"/>
  <c r="N6" i="15"/>
  <c r="B48" i="4"/>
  <c r="B56" i="4" s="1"/>
  <c r="C42" i="6"/>
  <c r="D11" i="19" s="1"/>
  <c r="D14" i="19" s="1"/>
  <c r="C44" i="6"/>
  <c r="E11" i="19" s="1"/>
  <c r="E14" i="19" s="1"/>
  <c r="C46" i="6"/>
  <c r="G11" i="19" s="1"/>
  <c r="G14" i="19" s="1"/>
  <c r="C48" i="6"/>
  <c r="H11" i="19" s="1"/>
  <c r="H14" i="19" s="1"/>
  <c r="C50" i="6"/>
  <c r="J11" i="19" s="1"/>
  <c r="J14" i="19" s="1"/>
  <c r="C52" i="6"/>
  <c r="K11" i="19" s="1"/>
  <c r="K14" i="19" s="1"/>
  <c r="C54" i="6"/>
  <c r="M11" i="19" s="1"/>
  <c r="M14" i="19" s="1"/>
  <c r="C56" i="6"/>
  <c r="C41" i="6"/>
  <c r="C11" i="19" s="1"/>
  <c r="C14" i="19" s="1"/>
  <c r="C43" i="6"/>
  <c r="C45" i="6"/>
  <c r="F11" i="19" s="1"/>
  <c r="F14" i="19" s="1"/>
  <c r="C47" i="6"/>
  <c r="C49" i="6"/>
  <c r="I11" i="19" s="1"/>
  <c r="I14" i="19" s="1"/>
  <c r="C51" i="6"/>
  <c r="C55" i="6"/>
  <c r="C53" i="6"/>
  <c r="L11" i="19" s="1"/>
  <c r="C40" i="6"/>
  <c r="B11" i="19" s="1"/>
  <c r="B6" i="2"/>
  <c r="G20" i="9"/>
  <c r="G11" i="13" s="1"/>
  <c r="F132" i="2"/>
  <c r="M116" i="2"/>
  <c r="E20" i="11"/>
  <c r="E23" i="11" s="1"/>
  <c r="K84" i="2" s="1"/>
  <c r="E11" i="11"/>
  <c r="D132" i="2"/>
  <c r="K116" i="2"/>
  <c r="G10" i="11"/>
  <c r="F131" i="2"/>
  <c r="M115" i="2"/>
  <c r="F13" i="9"/>
  <c r="F10" i="13" s="1"/>
  <c r="D131" i="2"/>
  <c r="K115" i="2"/>
  <c r="F4" i="2"/>
  <c r="B47" i="4"/>
  <c r="C9" i="10" s="1"/>
  <c r="E26" i="9"/>
  <c r="E12" i="13" s="1"/>
  <c r="F14" i="10"/>
  <c r="E12" i="11"/>
  <c r="E10" i="11"/>
  <c r="D4" i="2"/>
  <c r="D6" i="2" s="1"/>
  <c r="F32" i="9"/>
  <c r="F13" i="13" s="1"/>
  <c r="G12" i="11"/>
  <c r="D23" i="11"/>
  <c r="J84" i="2" s="1"/>
  <c r="E47" i="8"/>
  <c r="E49" i="8" s="1"/>
  <c r="E14" i="11" s="1"/>
  <c r="D49" i="8"/>
  <c r="D14" i="11" s="1"/>
  <c r="E46" i="8"/>
  <c r="E8" i="13"/>
  <c r="D48" i="4"/>
  <c r="D53" i="4" s="1"/>
  <c r="D32" i="6"/>
  <c r="C3" i="2" s="1"/>
  <c r="C6" i="2" s="1"/>
  <c r="D27" i="6"/>
  <c r="E20" i="9"/>
  <c r="E11" i="13" s="1"/>
  <c r="F20" i="9"/>
  <c r="F11" i="13" s="1"/>
  <c r="G13" i="9"/>
  <c r="G10" i="13" s="1"/>
  <c r="B58" i="4"/>
  <c r="G20" i="6"/>
  <c r="G15" i="10"/>
  <c r="E20" i="6"/>
  <c r="E15" i="10"/>
  <c r="C34" i="6"/>
  <c r="C17" i="10"/>
  <c r="G45" i="8"/>
  <c r="F45" i="8"/>
  <c r="C47" i="4"/>
  <c r="D9" i="10" s="1"/>
  <c r="D11" i="10" s="1"/>
  <c r="C48" i="4"/>
  <c r="D47" i="4"/>
  <c r="E9" i="10" s="1"/>
  <c r="E11" i="10" s="1"/>
  <c r="E11" i="6"/>
  <c r="E31" i="6"/>
  <c r="G11" i="6"/>
  <c r="G31" i="6"/>
  <c r="F45" i="4" l="1"/>
  <c r="F42" i="4"/>
  <c r="F31" i="6"/>
  <c r="F17" i="10" s="1"/>
  <c r="C20" i="9"/>
  <c r="C11" i="13" s="1"/>
  <c r="O9" i="15" s="1"/>
  <c r="D20" i="9"/>
  <c r="D11" i="13" s="1"/>
  <c r="I116" i="2"/>
  <c r="B131" i="2"/>
  <c r="N11" i="15"/>
  <c r="N9" i="15"/>
  <c r="B65" i="4"/>
  <c r="B132" i="2"/>
  <c r="I115" i="2"/>
  <c r="N12" i="15"/>
  <c r="N10" i="15"/>
  <c r="N8" i="15"/>
  <c r="C20" i="11"/>
  <c r="C23" i="11" s="1"/>
  <c r="I84" i="2" s="1"/>
  <c r="D32" i="9"/>
  <c r="D13" i="13" s="1"/>
  <c r="C32" i="9"/>
  <c r="C13" i="13" s="1"/>
  <c r="O11" i="15" s="1"/>
  <c r="D26" i="9"/>
  <c r="D12" i="13" s="1"/>
  <c r="C26" i="9"/>
  <c r="C12" i="13" s="1"/>
  <c r="O10" i="15" s="1"/>
  <c r="D13" i="9"/>
  <c r="D10" i="13" s="1"/>
  <c r="C13" i="9"/>
  <c r="C10" i="13" s="1"/>
  <c r="O8" i="15" s="1"/>
  <c r="L14" i="19"/>
  <c r="N12" i="19"/>
  <c r="B55" i="4"/>
  <c r="B69" i="4"/>
  <c r="B61" i="4"/>
  <c r="B54" i="4"/>
  <c r="B60" i="4"/>
  <c r="B59" i="4"/>
  <c r="E42" i="4"/>
  <c r="E45" i="4"/>
  <c r="K6" i="19"/>
  <c r="K8" i="19" s="1"/>
  <c r="K16" i="19" s="1"/>
  <c r="K20" i="19" s="1"/>
  <c r="K24" i="19" s="1"/>
  <c r="M6" i="19"/>
  <c r="M8" i="19" s="1"/>
  <c r="M16" i="19" s="1"/>
  <c r="M20" i="19" s="1"/>
  <c r="M24" i="19" s="1"/>
  <c r="G6" i="19"/>
  <c r="G8" i="19" s="1"/>
  <c r="G16" i="19" s="1"/>
  <c r="G20" i="19" s="1"/>
  <c r="G24" i="19" s="1"/>
  <c r="C6" i="19"/>
  <c r="C8" i="19" s="1"/>
  <c r="C16" i="19" s="1"/>
  <c r="C20" i="19" s="1"/>
  <c r="C24" i="19" s="1"/>
  <c r="L6" i="19"/>
  <c r="L8" i="19" s="1"/>
  <c r="H6" i="19"/>
  <c r="H8" i="19" s="1"/>
  <c r="H16" i="19" s="1"/>
  <c r="H20" i="19" s="1"/>
  <c r="H24" i="19" s="1"/>
  <c r="D6" i="19"/>
  <c r="D8" i="19" s="1"/>
  <c r="D16" i="19" s="1"/>
  <c r="D20" i="19" s="1"/>
  <c r="D24" i="19" s="1"/>
  <c r="I6" i="19"/>
  <c r="I8" i="19" s="1"/>
  <c r="I16" i="19" s="1"/>
  <c r="I20" i="19" s="1"/>
  <c r="I24" i="19" s="1"/>
  <c r="E6" i="19"/>
  <c r="E8" i="19" s="1"/>
  <c r="E16" i="19" s="1"/>
  <c r="E20" i="19" s="1"/>
  <c r="E24" i="19" s="1"/>
  <c r="B6" i="19"/>
  <c r="J6" i="19"/>
  <c r="J8" i="19" s="1"/>
  <c r="J16" i="19" s="1"/>
  <c r="J20" i="19" s="1"/>
  <c r="J24" i="19" s="1"/>
  <c r="F6" i="19"/>
  <c r="F8" i="19" s="1"/>
  <c r="F16" i="19" s="1"/>
  <c r="F20" i="19" s="1"/>
  <c r="F24" i="19" s="1"/>
  <c r="F34" i="6"/>
  <c r="B53" i="4"/>
  <c r="B63" i="4"/>
  <c r="B68" i="4"/>
  <c r="B66" i="4"/>
  <c r="B62" i="4"/>
  <c r="B64" i="4"/>
  <c r="B67" i="4"/>
  <c r="B57" i="4"/>
  <c r="C11" i="10"/>
  <c r="O6" i="19"/>
  <c r="N11" i="19"/>
  <c r="B14" i="19"/>
  <c r="D18" i="2"/>
  <c r="D83" i="2"/>
  <c r="C18" i="2"/>
  <c r="C83" i="2"/>
  <c r="D68" i="4"/>
  <c r="D60" i="4"/>
  <c r="D64" i="4"/>
  <c r="D56" i="4"/>
  <c r="F46" i="8"/>
  <c r="F8" i="13"/>
  <c r="G46" i="8"/>
  <c r="G8" i="13"/>
  <c r="D66" i="4"/>
  <c r="D62" i="4"/>
  <c r="D58" i="4"/>
  <c r="D54" i="4"/>
  <c r="D69" i="4"/>
  <c r="D67" i="4"/>
  <c r="D65" i="4"/>
  <c r="D63" i="4"/>
  <c r="D61" i="4"/>
  <c r="D59" i="4"/>
  <c r="D57" i="4"/>
  <c r="D55" i="4"/>
  <c r="C54" i="4"/>
  <c r="C55" i="4"/>
  <c r="C56" i="4"/>
  <c r="C57" i="4"/>
  <c r="C58" i="4"/>
  <c r="C59" i="4"/>
  <c r="C60" i="4"/>
  <c r="C61" i="4"/>
  <c r="C62" i="4"/>
  <c r="C63" i="4"/>
  <c r="C64" i="4"/>
  <c r="C65" i="4"/>
  <c r="C66" i="4"/>
  <c r="C67" i="4"/>
  <c r="C68" i="4"/>
  <c r="C69" i="4"/>
  <c r="C53" i="4"/>
  <c r="D16" i="10"/>
  <c r="D28" i="6"/>
  <c r="D31" i="6"/>
  <c r="G34" i="6"/>
  <c r="G17" i="10"/>
  <c r="E34" i="6"/>
  <c r="E17" i="10"/>
  <c r="E19" i="10" s="1"/>
  <c r="E23" i="10" s="1"/>
  <c r="F47" i="8"/>
  <c r="G19" i="10" l="1"/>
  <c r="G23" i="10" s="1"/>
  <c r="G27" i="10" s="1"/>
  <c r="G10" i="17" s="1"/>
  <c r="F3" i="2"/>
  <c r="F6" i="2" s="1"/>
  <c r="F48" i="4"/>
  <c r="F47" i="4"/>
  <c r="G9" i="10" s="1"/>
  <c r="G11" i="10" s="1"/>
  <c r="N14" i="19"/>
  <c r="L16" i="19"/>
  <c r="L20" i="19" s="1"/>
  <c r="L24" i="19" s="1"/>
  <c r="E3" i="2"/>
  <c r="E6" i="2" s="1"/>
  <c r="E47" i="4"/>
  <c r="F9" i="10" s="1"/>
  <c r="F11" i="10" s="1"/>
  <c r="E48" i="4"/>
  <c r="B8" i="19"/>
  <c r="N6" i="19"/>
  <c r="B83" i="2"/>
  <c r="O8" i="19"/>
  <c r="B18" i="2"/>
  <c r="C19" i="10"/>
  <c r="F84" i="2"/>
  <c r="M3" i="2"/>
  <c r="E27" i="10"/>
  <c r="E10" i="17" s="1"/>
  <c r="D84" i="2"/>
  <c r="K4" i="2"/>
  <c r="K3" i="2"/>
  <c r="G47" i="8"/>
  <c r="G49" i="8" s="1"/>
  <c r="G14" i="11" s="1"/>
  <c r="F49" i="8"/>
  <c r="F14" i="11" s="1"/>
  <c r="D34" i="6"/>
  <c r="D17" i="10"/>
  <c r="D19" i="10" s="1"/>
  <c r="D23" i="10" s="1"/>
  <c r="F53" i="4" l="1"/>
  <c r="F54" i="4"/>
  <c r="F66" i="4"/>
  <c r="F68" i="4"/>
  <c r="F60" i="4"/>
  <c r="F69" i="4"/>
  <c r="F65" i="4"/>
  <c r="F61" i="4"/>
  <c r="F57" i="4"/>
  <c r="F62" i="4"/>
  <c r="F58" i="4"/>
  <c r="F64" i="4"/>
  <c r="F56" i="4"/>
  <c r="F67" i="4"/>
  <c r="F63" i="4"/>
  <c r="F59" i="4"/>
  <c r="F55" i="4"/>
  <c r="M4" i="2"/>
  <c r="F83" i="2"/>
  <c r="F18" i="2"/>
  <c r="E18" i="2"/>
  <c r="E83" i="2"/>
  <c r="F19" i="10"/>
  <c r="F23" i="10" s="1"/>
  <c r="E55" i="4"/>
  <c r="E57" i="4"/>
  <c r="E59" i="4"/>
  <c r="E61" i="4"/>
  <c r="E63" i="4"/>
  <c r="E65" i="4"/>
  <c r="E67" i="4"/>
  <c r="E69" i="4"/>
  <c r="E60" i="4"/>
  <c r="E53" i="4"/>
  <c r="E54" i="4"/>
  <c r="E56" i="4"/>
  <c r="E58" i="4"/>
  <c r="E62" i="4"/>
  <c r="E64" i="4"/>
  <c r="E66" i="4"/>
  <c r="E68" i="4"/>
  <c r="B16" i="19"/>
  <c r="N8" i="19"/>
  <c r="C23" i="10"/>
  <c r="O16" i="19"/>
  <c r="D27" i="10"/>
  <c r="D10" i="17" s="1"/>
  <c r="C11" i="17" s="1"/>
  <c r="D11" i="17" s="1"/>
  <c r="D13" i="17" s="1"/>
  <c r="D14" i="17" s="1"/>
  <c r="J3" i="2"/>
  <c r="J4" i="2"/>
  <c r="C84" i="2"/>
  <c r="E11" i="17" l="1"/>
  <c r="E13" i="17" s="1"/>
  <c r="E14" i="17" s="1"/>
  <c r="E84" i="2"/>
  <c r="L4" i="2"/>
  <c r="F27" i="10"/>
  <c r="F10" i="17" s="1"/>
  <c r="L3" i="2"/>
  <c r="O20" i="19"/>
  <c r="C27" i="10"/>
  <c r="I3" i="2"/>
  <c r="B84" i="2"/>
  <c r="I4" i="2"/>
  <c r="B20" i="19"/>
  <c r="N16" i="19"/>
  <c r="D29" i="10"/>
  <c r="D31" i="10" s="1"/>
  <c r="D55" i="5" s="1"/>
  <c r="D57" i="5" s="1"/>
  <c r="E29" i="10" l="1"/>
  <c r="E31" i="10" s="1"/>
  <c r="E7" i="13" s="1"/>
  <c r="E15" i="13" s="1"/>
  <c r="K131" i="2" s="1"/>
  <c r="F11" i="17"/>
  <c r="G11" i="17" s="1"/>
  <c r="G13" i="17" s="1"/>
  <c r="G14" i="17" s="1"/>
  <c r="D32" i="10"/>
  <c r="N20" i="19"/>
  <c r="B24" i="19"/>
  <c r="O24" i="19"/>
  <c r="C10" i="17"/>
  <c r="D7" i="13"/>
  <c r="D15" i="13" s="1"/>
  <c r="C34" i="2" s="1"/>
  <c r="E55" i="5"/>
  <c r="E57" i="5" s="1"/>
  <c r="E32" i="10" l="1"/>
  <c r="G29" i="10"/>
  <c r="G31" i="10" s="1"/>
  <c r="G7" i="13" s="1"/>
  <c r="G15" i="13" s="1"/>
  <c r="M131" i="2" s="1"/>
  <c r="F13" i="17"/>
  <c r="F29" i="10" s="1"/>
  <c r="F31" i="10" s="1"/>
  <c r="D30" i="13"/>
  <c r="J131" i="2"/>
  <c r="C26" i="19"/>
  <c r="C28" i="19" s="1"/>
  <c r="C5" i="15" s="1"/>
  <c r="C13" i="15" s="1"/>
  <c r="C28" i="15" s="1"/>
  <c r="E26" i="19"/>
  <c r="E28" i="19" s="1"/>
  <c r="E5" i="15" s="1"/>
  <c r="E13" i="15" s="1"/>
  <c r="E28" i="15" s="1"/>
  <c r="G26" i="19"/>
  <c r="G28" i="19" s="1"/>
  <c r="G5" i="15" s="1"/>
  <c r="G13" i="15" s="1"/>
  <c r="G28" i="15" s="1"/>
  <c r="I26" i="19"/>
  <c r="I28" i="19" s="1"/>
  <c r="I5" i="15" s="1"/>
  <c r="I13" i="15" s="1"/>
  <c r="I28" i="15" s="1"/>
  <c r="K26" i="19"/>
  <c r="K28" i="19" s="1"/>
  <c r="K5" i="15" s="1"/>
  <c r="K13" i="15" s="1"/>
  <c r="K28" i="15" s="1"/>
  <c r="M26" i="19"/>
  <c r="M28" i="19" s="1"/>
  <c r="M5" i="15" s="1"/>
  <c r="M13" i="15" s="1"/>
  <c r="M28" i="15" s="1"/>
  <c r="D26" i="19"/>
  <c r="D28" i="19" s="1"/>
  <c r="D5" i="15" s="1"/>
  <c r="D13" i="15" s="1"/>
  <c r="D28" i="15" s="1"/>
  <c r="F26" i="19"/>
  <c r="F28" i="19" s="1"/>
  <c r="F5" i="15" s="1"/>
  <c r="F13" i="15" s="1"/>
  <c r="F28" i="15" s="1"/>
  <c r="H26" i="19"/>
  <c r="H28" i="19" s="1"/>
  <c r="H5" i="15" s="1"/>
  <c r="H13" i="15" s="1"/>
  <c r="H28" i="15" s="1"/>
  <c r="J26" i="19"/>
  <c r="J28" i="19" s="1"/>
  <c r="J5" i="15" s="1"/>
  <c r="J13" i="15" s="1"/>
  <c r="J28" i="15" s="1"/>
  <c r="L26" i="19"/>
  <c r="L28" i="19" s="1"/>
  <c r="L5" i="15" s="1"/>
  <c r="L13" i="15" s="1"/>
  <c r="L28" i="15" s="1"/>
  <c r="B26" i="19"/>
  <c r="C13" i="17"/>
  <c r="B28" i="19"/>
  <c r="N24" i="19"/>
  <c r="E30" i="13"/>
  <c r="D34" i="2"/>
  <c r="G32" i="10" l="1"/>
  <c r="G55" i="5"/>
  <c r="G57" i="5" s="1"/>
  <c r="F32" i="10"/>
  <c r="F7" i="13"/>
  <c r="F15" i="13" s="1"/>
  <c r="L131" i="2" s="1"/>
  <c r="F55" i="5"/>
  <c r="F57" i="5" s="1"/>
  <c r="F14" i="17"/>
  <c r="C29" i="10"/>
  <c r="C14" i="17"/>
  <c r="B5" i="15"/>
  <c r="N28" i="19"/>
  <c r="N26" i="19"/>
  <c r="F30" i="13"/>
  <c r="G30" i="13"/>
  <c r="F34" i="2"/>
  <c r="E34" i="2" l="1"/>
  <c r="B13" i="15"/>
  <c r="N5" i="15"/>
  <c r="C31" i="10"/>
  <c r="O26" i="19"/>
  <c r="N13" i="15" l="1"/>
  <c r="B28" i="15"/>
  <c r="O28" i="19"/>
  <c r="C32" i="10"/>
  <c r="C7" i="13"/>
  <c r="C55" i="5"/>
  <c r="C57" i="5" s="1"/>
  <c r="C59" i="5" s="1"/>
  <c r="B31" i="15" l="1"/>
  <c r="C30" i="15" s="1"/>
  <c r="C31" i="15" s="1"/>
  <c r="D30" i="15" s="1"/>
  <c r="D31" i="15" s="1"/>
  <c r="E30" i="15" s="1"/>
  <c r="E31" i="15" s="1"/>
  <c r="F30" i="15" s="1"/>
  <c r="F31" i="15" s="1"/>
  <c r="G30" i="15" s="1"/>
  <c r="G31" i="15" s="1"/>
  <c r="H30" i="15" s="1"/>
  <c r="H31" i="15" s="1"/>
  <c r="I30" i="15" s="1"/>
  <c r="I31" i="15" s="1"/>
  <c r="J30" i="15" s="1"/>
  <c r="J31" i="15" s="1"/>
  <c r="K30" i="15" s="1"/>
  <c r="K31" i="15" s="1"/>
  <c r="L30" i="15" s="1"/>
  <c r="L31" i="15" s="1"/>
  <c r="M30" i="15" s="1"/>
  <c r="M31" i="15" s="1"/>
  <c r="N28" i="15"/>
  <c r="C15" i="13"/>
  <c r="I131" i="2" s="1"/>
  <c r="O5" i="15"/>
  <c r="C30" i="11"/>
  <c r="C31" i="11" s="1"/>
  <c r="D58" i="5"/>
  <c r="D59" i="5" s="1"/>
  <c r="I83" i="2" l="1"/>
  <c r="C32" i="11"/>
  <c r="B68" i="2" s="1"/>
  <c r="B69" i="2"/>
  <c r="I19" i="2"/>
  <c r="I51" i="2"/>
  <c r="O13" i="15"/>
  <c r="B34" i="2"/>
  <c r="C30" i="13"/>
  <c r="D30" i="11"/>
  <c r="D31" i="11" s="1"/>
  <c r="E58" i="5"/>
  <c r="E59" i="5" s="1"/>
  <c r="C33" i="13" l="1"/>
  <c r="O31" i="15" s="1"/>
  <c r="O28" i="15"/>
  <c r="B67" i="2"/>
  <c r="F58" i="5"/>
  <c r="F59" i="5" s="1"/>
  <c r="E30" i="11"/>
  <c r="E31" i="11" s="1"/>
  <c r="J83" i="2"/>
  <c r="D32" i="11"/>
  <c r="C68" i="2" s="1"/>
  <c r="J51" i="2"/>
  <c r="C69" i="2"/>
  <c r="J19" i="2"/>
  <c r="C67" i="2"/>
  <c r="C9" i="11" l="1"/>
  <c r="C13" i="11" s="1"/>
  <c r="C15" i="11" s="1"/>
  <c r="D32" i="13"/>
  <c r="D33" i="13" s="1"/>
  <c r="D9" i="11" s="1"/>
  <c r="D13" i="11" s="1"/>
  <c r="G58" i="5"/>
  <c r="G59" i="5" s="1"/>
  <c r="G30" i="11" s="1"/>
  <c r="G31" i="11" s="1"/>
  <c r="F30" i="11"/>
  <c r="F31" i="11" s="1"/>
  <c r="B54" i="2"/>
  <c r="K83" i="2"/>
  <c r="K19" i="2"/>
  <c r="D69" i="2"/>
  <c r="E32" i="11"/>
  <c r="D68" i="2" s="1"/>
  <c r="K51" i="2"/>
  <c r="D67" i="2" l="1"/>
  <c r="E32" i="13"/>
  <c r="E33" i="13" s="1"/>
  <c r="F32" i="13" s="1"/>
  <c r="F33" i="13" s="1"/>
  <c r="B55" i="2"/>
  <c r="L83" i="2"/>
  <c r="E69" i="2"/>
  <c r="L19" i="2"/>
  <c r="F32" i="11"/>
  <c r="E68" i="2" s="1"/>
  <c r="L51" i="2"/>
  <c r="E67" i="2"/>
  <c r="E9" i="11"/>
  <c r="E13" i="11" s="1"/>
  <c r="I67" i="2"/>
  <c r="I35" i="2"/>
  <c r="M83" i="2"/>
  <c r="G32" i="11"/>
  <c r="F68" i="2" s="1"/>
  <c r="M51" i="2"/>
  <c r="M19" i="2"/>
  <c r="F69" i="2"/>
  <c r="D15" i="11"/>
  <c r="C54" i="2"/>
  <c r="C55" i="2"/>
  <c r="F67" i="2" l="1"/>
  <c r="J35" i="2"/>
  <c r="J67" i="2"/>
  <c r="E15" i="11"/>
  <c r="D55" i="2"/>
  <c r="D54" i="2"/>
  <c r="F9" i="11"/>
  <c r="F13" i="11" s="1"/>
  <c r="G32" i="13"/>
  <c r="G33" i="13" s="1"/>
  <c r="G9" i="11" s="1"/>
  <c r="G13" i="11" s="1"/>
  <c r="E55" i="2" l="1"/>
  <c r="F15" i="11"/>
  <c r="E54" i="2"/>
  <c r="F54" i="2"/>
  <c r="G15" i="11"/>
  <c r="F55" i="2"/>
  <c r="K35" i="2"/>
  <c r="K67" i="2"/>
  <c r="M67" i="2" l="1"/>
  <c r="M35" i="2"/>
  <c r="L67" i="2"/>
  <c r="L35" i="2"/>
</calcChain>
</file>

<file path=xl/sharedStrings.xml><?xml version="1.0" encoding="utf-8"?>
<sst xmlns="http://schemas.openxmlformats.org/spreadsheetml/2006/main" count="644" uniqueCount="327">
  <si>
    <t>Revenue</t>
  </si>
  <si>
    <t>Year</t>
  </si>
  <si>
    <t>Product A</t>
  </si>
  <si>
    <t>Units sold</t>
  </si>
  <si>
    <t>Price per unit</t>
  </si>
  <si>
    <t>Total revenue A</t>
  </si>
  <si>
    <t>Product B</t>
  </si>
  <si>
    <t>Total revenue B</t>
  </si>
  <si>
    <t>Service X</t>
  </si>
  <si>
    <t>Product C</t>
  </si>
  <si>
    <t>Total revenue C</t>
  </si>
  <si>
    <t>Number of customers</t>
  </si>
  <si>
    <t>Price per customer</t>
  </si>
  <si>
    <t>Total revenue X</t>
  </si>
  <si>
    <t>Total net revenue</t>
  </si>
  <si>
    <t>Cost of Revenue</t>
  </si>
  <si>
    <t>Material costs per unit</t>
  </si>
  <si>
    <t>Subcontract costs per unit</t>
  </si>
  <si>
    <t>Total direct costs per unit</t>
  </si>
  <si>
    <t>Total direct costs A</t>
  </si>
  <si>
    <t>Total direct costs B</t>
  </si>
  <si>
    <t>Total direct costs C</t>
  </si>
  <si>
    <t>Service personnel costs</t>
  </si>
  <si>
    <t>Salaries</t>
  </si>
  <si>
    <t>Depreciation</t>
  </si>
  <si>
    <t>Other costs &amp; expenses</t>
  </si>
  <si>
    <t>Utility (office rent, electricity, …)</t>
  </si>
  <si>
    <t>Other costs 1</t>
  </si>
  <si>
    <t>Other costs 2</t>
  </si>
  <si>
    <t>Other costs 3</t>
  </si>
  <si>
    <t>Total costs of revenue</t>
  </si>
  <si>
    <t>as % of revenue</t>
  </si>
  <si>
    <t>fixed</t>
  </si>
  <si>
    <t>variable</t>
  </si>
  <si>
    <t>Direct labour costs B</t>
  </si>
  <si>
    <t>Direct labour costs C</t>
  </si>
  <si>
    <t>Direct labour costs A</t>
  </si>
  <si>
    <t>Operational Expenditure</t>
  </si>
  <si>
    <t>Other 1</t>
  </si>
  <si>
    <t>Other 2</t>
  </si>
  <si>
    <t>Total staff compensation</t>
  </si>
  <si>
    <t>Remaining SG&amp;A as % of revenue</t>
  </si>
  <si>
    <t>Marketing &amp; Sales</t>
  </si>
  <si>
    <t xml:space="preserve">Administration </t>
  </si>
  <si>
    <t>Commissions as % of revenue</t>
  </si>
  <si>
    <t>Remaining M &amp; S as % of revenue</t>
  </si>
  <si>
    <t>Research &amp; Development</t>
  </si>
  <si>
    <t>Total Staff Compensation</t>
  </si>
  <si>
    <t>Remaining R&amp;D as % of revenue</t>
  </si>
  <si>
    <t>Total Administration</t>
  </si>
  <si>
    <t>Total Marketing &amp; Sales</t>
  </si>
  <si>
    <t>Total R&amp;D</t>
  </si>
  <si>
    <t>Total OPEX</t>
  </si>
  <si>
    <t xml:space="preserve">variable </t>
  </si>
  <si>
    <t>Administration</t>
  </si>
  <si>
    <t>Direct costs A</t>
  </si>
  <si>
    <t>Direct costs B</t>
  </si>
  <si>
    <t>Direct costs C</t>
  </si>
  <si>
    <t>Total other costs &amp; expenses</t>
  </si>
  <si>
    <t>Total cost of rev as % of revenue</t>
  </si>
  <si>
    <t>Total</t>
  </si>
  <si>
    <t>Salaries and incentives</t>
  </si>
  <si>
    <t>CEO</t>
  </si>
  <si>
    <t>CFO</t>
  </si>
  <si>
    <t>CMO</t>
  </si>
  <si>
    <t>CCCO</t>
  </si>
  <si>
    <t>Accounting clerk</t>
  </si>
  <si>
    <t>Assistant</t>
  </si>
  <si>
    <t xml:space="preserve">Total Salary </t>
  </si>
  <si>
    <t>Incentives as % of Total Salary</t>
  </si>
  <si>
    <t>Total Salary and Incentives</t>
  </si>
  <si>
    <t>Head of Sales</t>
  </si>
  <si>
    <t>Head of Marketing</t>
  </si>
  <si>
    <t>Head of Customer Service</t>
  </si>
  <si>
    <t>Head of Data Analysis</t>
  </si>
  <si>
    <t>Other 3</t>
  </si>
  <si>
    <t>Total Salary</t>
  </si>
  <si>
    <t>Head of R&amp;D</t>
  </si>
  <si>
    <t>Head of Technology</t>
  </si>
  <si>
    <t>Other 4</t>
  </si>
  <si>
    <t>Operations Product A</t>
  </si>
  <si>
    <t>Operations Manager A</t>
  </si>
  <si>
    <t>Quality Engineer</t>
  </si>
  <si>
    <t>Number of employees</t>
  </si>
  <si>
    <t>Average wage per employee</t>
  </si>
  <si>
    <t>Total wage</t>
  </si>
  <si>
    <t>Operations Product B</t>
  </si>
  <si>
    <t>Operations Manager B</t>
  </si>
  <si>
    <t>Operations Product C</t>
  </si>
  <si>
    <t>Operations Manager C</t>
  </si>
  <si>
    <t>Hourly Personnel Product B</t>
  </si>
  <si>
    <t>Hourly Personnel Product A</t>
  </si>
  <si>
    <t>Hourly Personnel Product C</t>
  </si>
  <si>
    <t>Total compensation Product A</t>
  </si>
  <si>
    <t>Total compensation Product B</t>
  </si>
  <si>
    <t>Total compensation Product C</t>
  </si>
  <si>
    <t>Incentives as % of Total Wage</t>
  </si>
  <si>
    <t>Service people (Service X)</t>
  </si>
  <si>
    <t>Service Manager X</t>
  </si>
  <si>
    <t>Complaint Manager</t>
  </si>
  <si>
    <t>Hourly Personnel Service X</t>
  </si>
  <si>
    <t>Total compensation Service X</t>
  </si>
  <si>
    <t>Total compensation Cost of revenue</t>
  </si>
  <si>
    <t>Total Incentives</t>
  </si>
  <si>
    <t>Total Compensation</t>
  </si>
  <si>
    <t>Total Salary and Wages (excl. Incentives)</t>
  </si>
  <si>
    <t>Extraordinary Income/Expense</t>
  </si>
  <si>
    <t>Income</t>
  </si>
  <si>
    <t>Item 1</t>
  </si>
  <si>
    <t>Item 2</t>
  </si>
  <si>
    <t>Item 3</t>
  </si>
  <si>
    <t>Item 4</t>
  </si>
  <si>
    <t>And another item</t>
  </si>
  <si>
    <t>Start-up expenses</t>
  </si>
  <si>
    <t>Legal</t>
  </si>
  <si>
    <t>Tax advisor</t>
  </si>
  <si>
    <t>Capital Expenses</t>
  </si>
  <si>
    <t>Hardware</t>
  </si>
  <si>
    <t>General equipment</t>
  </si>
  <si>
    <t>Total Capex</t>
  </si>
  <si>
    <t>Machines</t>
  </si>
  <si>
    <t>Depreciation rate in years</t>
  </si>
  <si>
    <t>Year 0</t>
  </si>
  <si>
    <t>Year 1</t>
  </si>
  <si>
    <t>Year 2</t>
  </si>
  <si>
    <t>Year 3</t>
  </si>
  <si>
    <t>Year 4</t>
  </si>
  <si>
    <t>Year 5</t>
  </si>
  <si>
    <t>Total Depreciation</t>
  </si>
  <si>
    <t>Depreciation Hardware (allocated to Administration)</t>
  </si>
  <si>
    <t>Depreciation on Machines (allocated to cost or revenue)</t>
  </si>
  <si>
    <t>Depreciation General Equipment (allocated to cost or revenue)</t>
  </si>
  <si>
    <t>Accumulated depreciation</t>
  </si>
  <si>
    <t>Year zero</t>
  </si>
  <si>
    <t>Working Capital</t>
  </si>
  <si>
    <t>Accounts Receivables</t>
  </si>
  <si>
    <t>Days outstanding</t>
  </si>
  <si>
    <t>as % revenue</t>
  </si>
  <si>
    <t>(Increase)/Decrease from previous period</t>
  </si>
  <si>
    <t>Inventory</t>
  </si>
  <si>
    <t>Inventory Days</t>
  </si>
  <si>
    <t>Inventory Turn</t>
  </si>
  <si>
    <t>Other current assets</t>
  </si>
  <si>
    <t>Accounts payable</t>
  </si>
  <si>
    <t>Increase/(Decrease) from previous period</t>
  </si>
  <si>
    <t>Other current liabilities</t>
  </si>
  <si>
    <t xml:space="preserve">Days </t>
  </si>
  <si>
    <t>Tax</t>
  </si>
  <si>
    <t>Revenues</t>
  </si>
  <si>
    <t>Earnings Before Interest and Taxes</t>
  </si>
  <si>
    <t>Cumulative</t>
  </si>
  <si>
    <t>Taxes</t>
  </si>
  <si>
    <t>Corporate Income Tax Rate</t>
  </si>
  <si>
    <t>Funding</t>
  </si>
  <si>
    <t>Cash</t>
  </si>
  <si>
    <t xml:space="preserve">Beginning </t>
  </si>
  <si>
    <t>Start-up cash</t>
  </si>
  <si>
    <t>Equity</t>
  </si>
  <si>
    <t>Common Shares</t>
  </si>
  <si>
    <t>Preferred Shares</t>
  </si>
  <si>
    <t>Total Equity</t>
  </si>
  <si>
    <t xml:space="preserve">Debt </t>
  </si>
  <si>
    <t>Total Common Shares</t>
  </si>
  <si>
    <t>Round A-pref</t>
  </si>
  <si>
    <t>Round B-pref</t>
  </si>
  <si>
    <t>Round A-comm</t>
  </si>
  <si>
    <t>Round B-comm</t>
  </si>
  <si>
    <t>Long-term Debt</t>
  </si>
  <si>
    <t>Short-term Debt</t>
  </si>
  <si>
    <t>Current portion</t>
  </si>
  <si>
    <t>Long-term portion</t>
  </si>
  <si>
    <t>Total long-term Debt</t>
  </si>
  <si>
    <t>Total Equity and Debt</t>
  </si>
  <si>
    <t>Interest rates</t>
  </si>
  <si>
    <t>Short-term</t>
  </si>
  <si>
    <t>Long-term</t>
  </si>
  <si>
    <t>Interest Expense</t>
  </si>
  <si>
    <t>Total interest expense</t>
  </si>
  <si>
    <t>Interest Income</t>
  </si>
  <si>
    <t>Interest Rate</t>
  </si>
  <si>
    <t>Retained Earnings</t>
  </si>
  <si>
    <t>Dividends</t>
  </si>
  <si>
    <t>Increase/(Decrease) Retained Earnings</t>
  </si>
  <si>
    <t>Retained Earnings at start of the year</t>
  </si>
  <si>
    <t>Retained Earning at end of the year</t>
  </si>
  <si>
    <t>Profit &amp; Loss Statement</t>
  </si>
  <si>
    <t>Gross Profit (Loss)</t>
  </si>
  <si>
    <t>Opex</t>
  </si>
  <si>
    <t>Marketing and Sales</t>
  </si>
  <si>
    <t>Total Opex</t>
  </si>
  <si>
    <t>Extraordinary Income/(Expense)</t>
  </si>
  <si>
    <t>Earning Before Interest &amp; Taxes (EBIT)</t>
  </si>
  <si>
    <t>Interest Income/(Expense)</t>
  </si>
  <si>
    <t>Net earnings after tax</t>
  </si>
  <si>
    <t>Assets</t>
  </si>
  <si>
    <t>Balance Sheet</t>
  </si>
  <si>
    <t>Current Assets</t>
  </si>
  <si>
    <t>Accounts Receivable</t>
  </si>
  <si>
    <t>Inventories</t>
  </si>
  <si>
    <t>Total Current Assets</t>
  </si>
  <si>
    <t>Total Assets</t>
  </si>
  <si>
    <t>Liabilities and Shareholder´s Equity</t>
  </si>
  <si>
    <t>Current Liabilities</t>
  </si>
  <si>
    <t>Accounts Payable</t>
  </si>
  <si>
    <t>Other Current Liabilities</t>
  </si>
  <si>
    <t>Current Portion of Long-term Debt</t>
  </si>
  <si>
    <t>Total Current Liabilities</t>
  </si>
  <si>
    <t>Long-term Debt less Current Portion</t>
  </si>
  <si>
    <t>Shareholder´s Equity</t>
  </si>
  <si>
    <t>Total Liabilities and Equity</t>
  </si>
  <si>
    <t>Long-term Assets (Capex)</t>
  </si>
  <si>
    <t>Gross Asset Value</t>
  </si>
  <si>
    <t>Net Properties</t>
  </si>
  <si>
    <t>Cash-flow Statement</t>
  </si>
  <si>
    <t>Operating Activities</t>
  </si>
  <si>
    <t>Working Capital Increases/(Decreases)</t>
  </si>
  <si>
    <t>Net Cash Provided/(Used)</t>
  </si>
  <si>
    <t>Investments</t>
  </si>
  <si>
    <t>Capital Expenditure</t>
  </si>
  <si>
    <t>Funding Activities</t>
  </si>
  <si>
    <t xml:space="preserve">   Increase/(Decrease) Short Term Debt</t>
  </si>
  <si>
    <t xml:space="preserve">   Increase/(Decrease) Curr. Portion LTD</t>
  </si>
  <si>
    <t xml:space="preserve">   Increase/(Decrease) Long Term Debt</t>
  </si>
  <si>
    <t xml:space="preserve">   Dividends Declared</t>
  </si>
  <si>
    <t xml:space="preserve">   Increase/(Decrease) Preferred Shares</t>
  </si>
  <si>
    <t xml:space="preserve">   Increase/(Decrease) Common Shares</t>
  </si>
  <si>
    <t>Total Increase/(Decrease) in Cash</t>
  </si>
  <si>
    <t>Cash at the End of the Year</t>
  </si>
  <si>
    <t>Cash at the Start of the Year</t>
  </si>
  <si>
    <t>Net Earning after Tax</t>
  </si>
  <si>
    <t>(Incr)/Decr Accounts Receivables</t>
  </si>
  <si>
    <t>(Incr)/Decr Inventories</t>
  </si>
  <si>
    <t>(Incr)/Decr Other Current Assets</t>
  </si>
  <si>
    <t>Incr/(Decr) Accounts Payables</t>
  </si>
  <si>
    <t>Incr/(Decr) Other Current Liabilities</t>
  </si>
  <si>
    <t>CALCULATION AREA</t>
  </si>
  <si>
    <t xml:space="preserve">AR </t>
  </si>
  <si>
    <t>In</t>
  </si>
  <si>
    <t>AP</t>
  </si>
  <si>
    <t>Other CA</t>
  </si>
  <si>
    <t>Other CL</t>
  </si>
  <si>
    <t>Total fixed costs</t>
  </si>
  <si>
    <t>Total var costs</t>
  </si>
  <si>
    <t>Total Depreciation HW</t>
  </si>
  <si>
    <t>Total Depreciation MACHINES</t>
  </si>
  <si>
    <t>Total Depreciation GE</t>
  </si>
  <si>
    <t>Gross Profit</t>
  </si>
  <si>
    <t>Return On Capital Employed</t>
  </si>
  <si>
    <t>Net cash provided by operating activities</t>
  </si>
  <si>
    <t>Return on Assets</t>
  </si>
  <si>
    <t>Return on Equity</t>
  </si>
  <si>
    <t>Quick Ratio</t>
  </si>
  <si>
    <t>Debt</t>
  </si>
  <si>
    <t>Asset Utilization Ratio</t>
  </si>
  <si>
    <t>Gross Profit Margin</t>
  </si>
  <si>
    <t>EBIT Margin</t>
  </si>
  <si>
    <t>Debt/Equity Ratio</t>
  </si>
  <si>
    <t>Cost of Equity</t>
  </si>
  <si>
    <t>Cost of Debt</t>
  </si>
  <si>
    <t>Cash Conversion Cycle</t>
  </si>
  <si>
    <t>EBITDA in 000s</t>
  </si>
  <si>
    <t>EBIT in 000s</t>
  </si>
  <si>
    <t>Revenue in 000s</t>
  </si>
  <si>
    <t>BE (Revenue) in 000s</t>
  </si>
  <si>
    <t>Year-on-Year</t>
  </si>
  <si>
    <t>Year-on-1st Year</t>
  </si>
  <si>
    <t>Month 1</t>
  </si>
  <si>
    <t>Month 2</t>
  </si>
  <si>
    <t>Month 3</t>
  </si>
  <si>
    <t>Months 4</t>
  </si>
  <si>
    <t>Months 5</t>
  </si>
  <si>
    <t>Months 6</t>
  </si>
  <si>
    <t>Months 7</t>
  </si>
  <si>
    <t>Months 8</t>
  </si>
  <si>
    <t>Months 9</t>
  </si>
  <si>
    <t>Months 10</t>
  </si>
  <si>
    <t>Months 11</t>
  </si>
  <si>
    <t>Months 12</t>
  </si>
  <si>
    <t>Quarter 1</t>
  </si>
  <si>
    <t>Quarter 2</t>
  </si>
  <si>
    <t>Quarter 3</t>
  </si>
  <si>
    <t>Quarter 4</t>
  </si>
  <si>
    <t>Total year</t>
  </si>
  <si>
    <t>Intra-year Revenue</t>
  </si>
  <si>
    <t>Operating Expenses</t>
  </si>
  <si>
    <t>EBIT</t>
  </si>
  <si>
    <t>Interest Income /(Expense)</t>
  </si>
  <si>
    <t>Month 4</t>
  </si>
  <si>
    <t>Month 5</t>
  </si>
  <si>
    <t>Month 6</t>
  </si>
  <si>
    <t>Month 7</t>
  </si>
  <si>
    <t>Month 8</t>
  </si>
  <si>
    <t>Month 9</t>
  </si>
  <si>
    <t>Month 10</t>
  </si>
  <si>
    <t>Month 11</t>
  </si>
  <si>
    <t>Month 12</t>
  </si>
  <si>
    <t xml:space="preserve">Annual </t>
  </si>
  <si>
    <t>Projection</t>
  </si>
  <si>
    <t>12 months</t>
  </si>
  <si>
    <t>Operating Earnings</t>
  </si>
  <si>
    <t>Extraordinary Income/(Expense) Intra-year</t>
  </si>
  <si>
    <t>Net Earnings Before Interest &amp; Tax</t>
  </si>
  <si>
    <t>Net Earnings After Tax</t>
  </si>
  <si>
    <t>Profit &amp; Loss Statement - Intrayear for Year 1</t>
  </si>
  <si>
    <t>Cash-flow Statement - Intrayear for Year 1</t>
  </si>
  <si>
    <t>(Increase)/Decrease AR</t>
  </si>
  <si>
    <t>(Increase)/Decrease Inventories</t>
  </si>
  <si>
    <t>(Increase)/Decrease Other CA</t>
  </si>
  <si>
    <t>Increase/(Decrease) AP</t>
  </si>
  <si>
    <t>Increase/(Decrease) Other CL</t>
  </si>
  <si>
    <t>Changes in Working Capital</t>
  </si>
  <si>
    <t>Capex Intra-year</t>
  </si>
  <si>
    <t>Net Cash Provided/(Used) by OA</t>
  </si>
  <si>
    <t>Net Cash Used by Investment</t>
  </si>
  <si>
    <t>Increase/(Decrease) Short-term Debt</t>
  </si>
  <si>
    <t>Increase/(Decrease) Current Portion LTD</t>
  </si>
  <si>
    <t>Increase/(Decrease) LTD</t>
  </si>
  <si>
    <t>Increase/(Decrease) Common Shares</t>
  </si>
  <si>
    <t>Increase/(Decrease) Preferred Shares</t>
  </si>
  <si>
    <t>Dividends Declared</t>
  </si>
  <si>
    <t>Total Preferred Shares</t>
  </si>
  <si>
    <t>Increase/(Decrease) in Cash</t>
  </si>
  <si>
    <t>Net Cash Provided/(Used) by FA</t>
  </si>
  <si>
    <t>Cash at the start of the period</t>
  </si>
  <si>
    <t>Cash at the end of period</t>
  </si>
  <si>
    <t xml:space="preserve">Unlevered </t>
  </si>
  <si>
    <t>Current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</si>
</sst>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_-;\-* #,##0.0_-;_-* &quot;-&quot;??_-;_-@_-"/>
    <numFmt numFmtId="166" formatCode="0.0%"/>
  </numFmts>
  <fonts count="11" x14ac:knownFonts="1">
    <font>
      <sz val="11"/>
      <color theme="1"/>
      <name val="Calibri"/>
      <family val="2"/>
      <scheme val="minor"/>
    </font>
    <font>
      <sz val="11"/>
      <color theme="1"/>
      <name val="Calibri"/>
      <family val="2"/>
      <scheme val="minor"/>
    </font>
    <font>
      <sz val="10"/>
      <name val="MS Sans Serif"/>
    </font>
    <font>
      <sz val="10"/>
      <name val="Verdana"/>
      <family val="2"/>
    </font>
    <font>
      <b/>
      <sz val="10"/>
      <color theme="1"/>
      <name val="Verdana"/>
      <family val="2"/>
    </font>
    <font>
      <sz val="10"/>
      <color theme="1"/>
      <name val="Verdana"/>
      <family val="2"/>
    </font>
    <font>
      <i/>
      <sz val="10"/>
      <color theme="1"/>
      <name val="Verdana"/>
      <family val="2"/>
    </font>
    <font>
      <b/>
      <i/>
      <sz val="10"/>
      <color theme="1"/>
      <name val="Verdana"/>
      <family val="2"/>
    </font>
    <font>
      <sz val="10"/>
      <color rgb="FFFF0000"/>
      <name val="Verdana"/>
      <family val="2"/>
    </font>
    <font>
      <b/>
      <sz val="10"/>
      <color rgb="FF0070C0"/>
      <name val="Verdana"/>
      <family val="2"/>
    </font>
    <font>
      <sz val="11"/>
      <color theme="0"/>
      <name val="Calibri"/>
      <family val="2"/>
      <scheme val="minor"/>
    </font>
  </fonts>
  <fills count="5">
    <fill>
      <patternFill patternType="none"/>
    </fill>
    <fill>
      <patternFill patternType="gray125"/>
    </fill>
    <fill>
      <patternFill patternType="solid">
        <fgColor rgb="FF00B050"/>
        <bgColor indexed="64"/>
      </patternFill>
    </fill>
    <fill>
      <patternFill patternType="solid">
        <fgColor theme="0" tint="-0.499984740745262"/>
        <bgColor indexed="64"/>
      </patternFill>
    </fill>
    <fill>
      <patternFill patternType="solid">
        <fgColor theme="9" tint="-0.499984740745262"/>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diagonal/>
    </border>
    <border>
      <left/>
      <right style="thin">
        <color indexed="64"/>
      </right>
      <top/>
      <bottom/>
      <diagonal/>
    </border>
    <border>
      <left/>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cellStyleXfs>
  <cellXfs count="175">
    <xf numFmtId="0" fontId="0" fillId="0" borderId="0" xfId="0"/>
    <xf numFmtId="0" fontId="4" fillId="0" borderId="0" xfId="0" applyFont="1"/>
    <xf numFmtId="0" fontId="5" fillId="0" borderId="0" xfId="0" applyFont="1"/>
    <xf numFmtId="0" fontId="5" fillId="0" borderId="0" xfId="0" applyFont="1" applyAlignment="1">
      <alignment horizontal="left" indent="1"/>
    </xf>
    <xf numFmtId="0" fontId="4" fillId="0" borderId="0" xfId="0" applyFont="1" applyFill="1" applyBorder="1"/>
    <xf numFmtId="0" fontId="5" fillId="0" borderId="0" xfId="0" applyFont="1" applyFill="1"/>
    <xf numFmtId="0" fontId="4" fillId="3" borderId="0" xfId="0" applyFont="1" applyFill="1" applyAlignment="1">
      <alignment horizontal="center"/>
    </xf>
    <xf numFmtId="43" fontId="5" fillId="2" borderId="0" xfId="1" applyFont="1" applyFill="1"/>
    <xf numFmtId="43" fontId="5" fillId="0" borderId="0" xfId="1" applyFont="1"/>
    <xf numFmtId="0" fontId="5" fillId="0" borderId="0" xfId="0" applyFont="1" applyAlignment="1">
      <alignment horizontal="left" indent="3"/>
    </xf>
    <xf numFmtId="0" fontId="5" fillId="0" borderId="0" xfId="0" applyFont="1" applyFill="1" applyBorder="1"/>
    <xf numFmtId="0" fontId="4" fillId="0" borderId="0" xfId="0" applyFont="1" applyFill="1" applyBorder="1" applyAlignment="1">
      <alignment horizontal="center"/>
    </xf>
    <xf numFmtId="43" fontId="5" fillId="0" borderId="0" xfId="1" applyFont="1" applyFill="1" applyBorder="1"/>
    <xf numFmtId="0" fontId="5" fillId="0" borderId="0" xfId="0" applyFont="1" applyFill="1" applyBorder="1" applyAlignment="1">
      <alignment horizontal="left" indent="2"/>
    </xf>
    <xf numFmtId="43" fontId="4" fillId="0" borderId="0" xfId="1" applyFont="1" applyFill="1" applyBorder="1"/>
    <xf numFmtId="43" fontId="5" fillId="0" borderId="0" xfId="1" applyFont="1" applyFill="1"/>
    <xf numFmtId="0" fontId="4" fillId="0" borderId="0" xfId="0" applyFont="1" applyFill="1" applyBorder="1" applyAlignment="1">
      <alignment horizontal="center"/>
    </xf>
    <xf numFmtId="0" fontId="5" fillId="0" borderId="0" xfId="0" applyFont="1" applyFill="1" applyAlignment="1">
      <alignment horizontal="left" indent="2"/>
    </xf>
    <xf numFmtId="43" fontId="5" fillId="2" borderId="0" xfId="1" applyFont="1" applyFill="1" applyBorder="1"/>
    <xf numFmtId="43" fontId="4" fillId="2" borderId="0" xfId="1" applyFont="1" applyFill="1" applyBorder="1"/>
    <xf numFmtId="43" fontId="5" fillId="0" borderId="2" xfId="1" applyFont="1" applyFill="1" applyBorder="1"/>
    <xf numFmtId="43" fontId="4" fillId="0" borderId="3" xfId="1" applyFont="1" applyFill="1" applyBorder="1"/>
    <xf numFmtId="43" fontId="4" fillId="2" borderId="0" xfId="1" applyFont="1" applyFill="1" applyBorder="1" applyAlignment="1">
      <alignment horizontal="center"/>
    </xf>
    <xf numFmtId="43" fontId="4" fillId="0" borderId="0" xfId="1" applyFont="1" applyFill="1"/>
    <xf numFmtId="0" fontId="4" fillId="0" borderId="0" xfId="0" applyFont="1" applyFill="1" applyProtection="1">
      <protection hidden="1"/>
    </xf>
    <xf numFmtId="0" fontId="7" fillId="3" borderId="6" xfId="0" applyFont="1" applyFill="1" applyBorder="1" applyAlignment="1" applyProtection="1">
      <alignment horizontal="center"/>
      <protection hidden="1"/>
    </xf>
    <xf numFmtId="0" fontId="4" fillId="3" borderId="0" xfId="0" applyFont="1" applyFill="1" applyAlignment="1" applyProtection="1">
      <alignment horizontal="center"/>
      <protection hidden="1"/>
    </xf>
    <xf numFmtId="0" fontId="5" fillId="0" borderId="0" xfId="0" applyFont="1" applyFill="1" applyProtection="1">
      <protection hidden="1"/>
    </xf>
    <xf numFmtId="0" fontId="5" fillId="0" borderId="6" xfId="0" applyFont="1" applyFill="1" applyBorder="1" applyProtection="1">
      <protection hidden="1"/>
    </xf>
    <xf numFmtId="0" fontId="4" fillId="0" borderId="0" xfId="0" applyFont="1" applyFill="1" applyAlignment="1" applyProtection="1">
      <alignment horizontal="left" indent="1"/>
      <protection hidden="1"/>
    </xf>
    <xf numFmtId="0" fontId="5" fillId="0" borderId="0" xfId="0" applyFont="1" applyFill="1" applyAlignment="1" applyProtection="1">
      <alignment horizontal="left" indent="2"/>
      <protection hidden="1"/>
    </xf>
    <xf numFmtId="43" fontId="5" fillId="0" borderId="6" xfId="1" applyFont="1" applyFill="1" applyBorder="1" applyProtection="1">
      <protection hidden="1"/>
    </xf>
    <xf numFmtId="43" fontId="3" fillId="0" borderId="0" xfId="1" applyFont="1" applyFill="1" applyProtection="1">
      <protection hidden="1"/>
    </xf>
    <xf numFmtId="43" fontId="5" fillId="0" borderId="0" xfId="1" applyFont="1" applyFill="1" applyProtection="1">
      <protection hidden="1"/>
    </xf>
    <xf numFmtId="43" fontId="4" fillId="0" borderId="6" xfId="1" applyFont="1" applyFill="1" applyBorder="1" applyProtection="1">
      <protection hidden="1"/>
    </xf>
    <xf numFmtId="43" fontId="4" fillId="0" borderId="0" xfId="1" applyFont="1" applyFill="1" applyProtection="1">
      <protection hidden="1"/>
    </xf>
    <xf numFmtId="0" fontId="4" fillId="0" borderId="0" xfId="0" applyFont="1" applyFill="1" applyAlignment="1" applyProtection="1">
      <alignment horizontal="left"/>
      <protection hidden="1"/>
    </xf>
    <xf numFmtId="0" fontId="7" fillId="0" borderId="0" xfId="0" applyFont="1" applyFill="1" applyAlignment="1" applyProtection="1">
      <alignment horizontal="center"/>
      <protection hidden="1"/>
    </xf>
    <xf numFmtId="0" fontId="5" fillId="0" borderId="0" xfId="0" applyFont="1" applyFill="1" applyAlignment="1" applyProtection="1">
      <alignment horizontal="left" indent="3"/>
      <protection hidden="1"/>
    </xf>
    <xf numFmtId="43" fontId="5" fillId="0" borderId="0" xfId="0" applyNumberFormat="1" applyFont="1" applyFill="1" applyProtection="1">
      <protection hidden="1"/>
    </xf>
    <xf numFmtId="0" fontId="3" fillId="0" borderId="0" xfId="3" applyFont="1" applyFill="1" applyAlignment="1" applyProtection="1">
      <alignment horizontal="left" indent="1"/>
      <protection hidden="1"/>
    </xf>
    <xf numFmtId="0" fontId="9" fillId="0" borderId="0" xfId="0" applyFont="1" applyFill="1" applyProtection="1">
      <protection hidden="1"/>
    </xf>
    <xf numFmtId="0" fontId="5" fillId="0" borderId="0" xfId="0" applyFont="1" applyProtection="1">
      <protection hidden="1"/>
    </xf>
    <xf numFmtId="0" fontId="4" fillId="3" borderId="8" xfId="0" applyFont="1" applyFill="1" applyBorder="1" applyAlignment="1" applyProtection="1">
      <alignment horizontal="center"/>
      <protection hidden="1"/>
    </xf>
    <xf numFmtId="0" fontId="4" fillId="3" borderId="1" xfId="0" applyFont="1" applyFill="1" applyBorder="1" applyAlignment="1" applyProtection="1">
      <alignment horizontal="center"/>
      <protection hidden="1"/>
    </xf>
    <xf numFmtId="0" fontId="4" fillId="0" borderId="0" xfId="0" applyFont="1" applyProtection="1">
      <protection hidden="1"/>
    </xf>
    <xf numFmtId="43" fontId="5" fillId="0" borderId="0" xfId="1" applyFont="1" applyProtection="1">
      <protection hidden="1"/>
    </xf>
    <xf numFmtId="43" fontId="4" fillId="3" borderId="6" xfId="1" applyFont="1" applyFill="1" applyBorder="1" applyProtection="1">
      <protection hidden="1"/>
    </xf>
    <xf numFmtId="43" fontId="4" fillId="3" borderId="0" xfId="1" applyFont="1" applyFill="1" applyProtection="1">
      <protection hidden="1"/>
    </xf>
    <xf numFmtId="0" fontId="4" fillId="3" borderId="6" xfId="0" applyFont="1" applyFill="1" applyBorder="1" applyProtection="1">
      <protection hidden="1"/>
    </xf>
    <xf numFmtId="0" fontId="4" fillId="3" borderId="0" xfId="0" applyFont="1" applyFill="1" applyProtection="1">
      <protection hidden="1"/>
    </xf>
    <xf numFmtId="43" fontId="5" fillId="0" borderId="0" xfId="0" applyNumberFormat="1" applyFont="1" applyProtection="1">
      <protection hidden="1"/>
    </xf>
    <xf numFmtId="43" fontId="4" fillId="3" borderId="6" xfId="0" applyNumberFormat="1" applyFont="1" applyFill="1" applyBorder="1" applyProtection="1">
      <protection hidden="1"/>
    </xf>
    <xf numFmtId="43" fontId="4" fillId="3" borderId="0" xfId="0" applyNumberFormat="1" applyFont="1" applyFill="1" applyProtection="1">
      <protection hidden="1"/>
    </xf>
    <xf numFmtId="0" fontId="5" fillId="0" borderId="0" xfId="0" applyFont="1" applyAlignment="1" applyProtection="1">
      <alignment horizontal="left" indent="1"/>
      <protection hidden="1"/>
    </xf>
    <xf numFmtId="0" fontId="4" fillId="0" borderId="0" xfId="0" applyFont="1" applyAlignment="1" applyProtection="1">
      <alignment horizontal="left"/>
      <protection hidden="1"/>
    </xf>
    <xf numFmtId="2" fontId="4" fillId="3" borderId="0" xfId="0" applyNumberFormat="1" applyFont="1" applyFill="1" applyProtection="1">
      <protection hidden="1"/>
    </xf>
    <xf numFmtId="0" fontId="4" fillId="0" borderId="7" xfId="0" applyFont="1" applyBorder="1" applyAlignment="1" applyProtection="1">
      <alignment horizontal="center"/>
      <protection hidden="1"/>
    </xf>
    <xf numFmtId="0" fontId="4" fillId="3" borderId="9" xfId="0" applyFont="1" applyFill="1" applyBorder="1" applyAlignment="1" applyProtection="1">
      <alignment horizontal="center"/>
      <protection hidden="1"/>
    </xf>
    <xf numFmtId="0" fontId="4" fillId="3" borderId="7" xfId="0" applyFont="1" applyFill="1" applyBorder="1" applyAlignment="1" applyProtection="1">
      <alignment horizontal="center"/>
      <protection hidden="1"/>
    </xf>
    <xf numFmtId="0" fontId="5" fillId="3" borderId="6" xfId="0" applyFont="1" applyFill="1" applyBorder="1" applyProtection="1">
      <protection hidden="1"/>
    </xf>
    <xf numFmtId="0" fontId="5" fillId="3" borderId="0" xfId="0" applyFont="1" applyFill="1" applyProtection="1">
      <protection hidden="1"/>
    </xf>
    <xf numFmtId="43" fontId="5" fillId="3" borderId="6" xfId="0" applyNumberFormat="1" applyFont="1" applyFill="1" applyBorder="1" applyProtection="1">
      <protection hidden="1"/>
    </xf>
    <xf numFmtId="43" fontId="5" fillId="3" borderId="0" xfId="0" applyNumberFormat="1" applyFont="1" applyFill="1" applyProtection="1">
      <protection hidden="1"/>
    </xf>
    <xf numFmtId="0" fontId="4" fillId="0" borderId="0" xfId="0" applyFont="1" applyAlignment="1" applyProtection="1">
      <alignment horizontal="left" indent="1"/>
      <protection hidden="1"/>
    </xf>
    <xf numFmtId="0" fontId="5" fillId="0" borderId="0" xfId="0" applyFont="1" applyAlignment="1" applyProtection="1">
      <alignment horizontal="left" indent="2"/>
      <protection hidden="1"/>
    </xf>
    <xf numFmtId="43" fontId="5" fillId="3" borderId="0" xfId="1" applyFont="1" applyFill="1" applyProtection="1">
      <protection hidden="1"/>
    </xf>
    <xf numFmtId="43" fontId="4" fillId="0" borderId="0" xfId="0" applyNumberFormat="1" applyFont="1" applyProtection="1">
      <protection hidden="1"/>
    </xf>
    <xf numFmtId="43" fontId="5" fillId="3" borderId="6" xfId="1" applyFont="1" applyFill="1" applyBorder="1" applyProtection="1">
      <protection hidden="1"/>
    </xf>
    <xf numFmtId="0" fontId="5" fillId="0" borderId="0" xfId="0" applyFont="1" applyFill="1" applyAlignment="1" applyProtection="1">
      <alignment horizontal="left" indent="1"/>
      <protection hidden="1"/>
    </xf>
    <xf numFmtId="43" fontId="5" fillId="0" borderId="2" xfId="0" applyNumberFormat="1" applyFont="1" applyFill="1" applyBorder="1" applyProtection="1">
      <protection hidden="1"/>
    </xf>
    <xf numFmtId="2" fontId="5" fillId="0" borderId="0" xfId="0" applyNumberFormat="1" applyFont="1" applyFill="1" applyProtection="1">
      <protection hidden="1"/>
    </xf>
    <xf numFmtId="0" fontId="6" fillId="0" borderId="0" xfId="0" applyFont="1" applyFill="1" applyAlignment="1" applyProtection="1">
      <alignment horizontal="left" indent="2"/>
      <protection hidden="1"/>
    </xf>
    <xf numFmtId="9" fontId="6" fillId="0" borderId="0" xfId="2" applyFont="1" applyFill="1" applyProtection="1">
      <protection hidden="1"/>
    </xf>
    <xf numFmtId="0" fontId="7" fillId="3" borderId="8" xfId="0" applyFont="1" applyFill="1" applyBorder="1" applyAlignment="1" applyProtection="1">
      <alignment horizontal="center"/>
      <protection hidden="1"/>
    </xf>
    <xf numFmtId="43" fontId="5" fillId="2" borderId="0" xfId="1" applyFont="1" applyFill="1" applyProtection="1">
      <protection hidden="1"/>
    </xf>
    <xf numFmtId="0" fontId="5" fillId="0" borderId="0" xfId="0" applyFont="1" applyAlignment="1" applyProtection="1">
      <alignment horizontal="left" indent="3"/>
      <protection hidden="1"/>
    </xf>
    <xf numFmtId="43" fontId="4" fillId="0" borderId="2" xfId="1" applyFont="1" applyFill="1" applyBorder="1" applyProtection="1">
      <protection hidden="1"/>
    </xf>
    <xf numFmtId="0" fontId="4" fillId="0" borderId="0" xfId="0" applyFont="1" applyFill="1" applyBorder="1" applyProtection="1">
      <protection hidden="1"/>
    </xf>
    <xf numFmtId="0" fontId="6" fillId="0" borderId="0" xfId="0" applyFont="1" applyAlignment="1" applyProtection="1">
      <alignment horizontal="left" indent="2"/>
      <protection hidden="1"/>
    </xf>
    <xf numFmtId="43" fontId="6" fillId="0" borderId="0" xfId="1" applyFont="1" applyFill="1" applyProtection="1">
      <protection hidden="1"/>
    </xf>
    <xf numFmtId="43" fontId="6" fillId="0" borderId="0" xfId="1" applyFont="1" applyProtection="1">
      <protection hidden="1"/>
    </xf>
    <xf numFmtId="43" fontId="4" fillId="0" borderId="3" xfId="1" applyFont="1" applyFill="1" applyBorder="1" applyProtection="1">
      <protection hidden="1"/>
    </xf>
    <xf numFmtId="10" fontId="5" fillId="0" borderId="0" xfId="2" applyNumberFormat="1" applyFont="1" applyFill="1" applyProtection="1">
      <protection hidden="1"/>
    </xf>
    <xf numFmtId="10" fontId="5" fillId="2" borderId="0" xfId="2" applyNumberFormat="1" applyFont="1" applyFill="1" applyProtection="1">
      <protection hidden="1"/>
    </xf>
    <xf numFmtId="0" fontId="8" fillId="0" borderId="0" xfId="0" applyFont="1" applyFill="1" applyProtection="1">
      <protection hidden="1"/>
    </xf>
    <xf numFmtId="0" fontId="4" fillId="0" borderId="0" xfId="0" applyFont="1" applyProtection="1">
      <protection locked="0"/>
    </xf>
    <xf numFmtId="0" fontId="5" fillId="0" borderId="0" xfId="0" applyFont="1" applyProtection="1">
      <protection locked="0"/>
    </xf>
    <xf numFmtId="0" fontId="4" fillId="3" borderId="0" xfId="0" applyFont="1" applyFill="1" applyAlignment="1" applyProtection="1">
      <alignment horizontal="center"/>
      <protection locked="0"/>
    </xf>
    <xf numFmtId="0" fontId="5" fillId="0" borderId="0" xfId="0" applyFont="1" applyAlignment="1" applyProtection="1">
      <alignment horizontal="left" indent="2"/>
      <protection locked="0"/>
    </xf>
    <xf numFmtId="0" fontId="5" fillId="2" borderId="0" xfId="0" applyFont="1" applyFill="1" applyProtection="1">
      <protection locked="0"/>
    </xf>
    <xf numFmtId="0" fontId="5" fillId="0" borderId="0" xfId="0" applyFont="1" applyFill="1" applyProtection="1">
      <protection locked="0"/>
    </xf>
    <xf numFmtId="0" fontId="6" fillId="0" borderId="0" xfId="0" applyFont="1" applyProtection="1">
      <protection hidden="1"/>
    </xf>
    <xf numFmtId="10" fontId="6" fillId="0" borderId="0" xfId="2" applyNumberFormat="1" applyFont="1" applyFill="1" applyProtection="1">
      <protection hidden="1"/>
    </xf>
    <xf numFmtId="0" fontId="5" fillId="3" borderId="0" xfId="0" applyFont="1" applyFill="1" applyAlignment="1" applyProtection="1">
      <alignment horizontal="center"/>
      <protection hidden="1"/>
    </xf>
    <xf numFmtId="0" fontId="5" fillId="3" borderId="0" xfId="0" applyFont="1" applyFill="1" applyAlignment="1" applyProtection="1">
      <alignment horizontal="left"/>
      <protection hidden="1"/>
    </xf>
    <xf numFmtId="9" fontId="5" fillId="2" borderId="0" xfId="2" applyFont="1" applyFill="1" applyProtection="1">
      <protection locked="0"/>
    </xf>
    <xf numFmtId="0" fontId="4" fillId="0" borderId="0" xfId="0" applyFont="1" applyAlignment="1" applyProtection="1">
      <alignment horizontal="center"/>
      <protection locked="0"/>
    </xf>
    <xf numFmtId="0" fontId="7" fillId="3" borderId="0" xfId="0" applyFont="1" applyFill="1" applyBorder="1" applyAlignment="1" applyProtection="1">
      <alignment horizontal="center"/>
      <protection locked="0"/>
    </xf>
    <xf numFmtId="0" fontId="4" fillId="3" borderId="0" xfId="0" applyFont="1" applyFill="1" applyBorder="1" applyAlignment="1" applyProtection="1">
      <alignment horizontal="center"/>
      <protection locked="0"/>
    </xf>
    <xf numFmtId="43" fontId="5" fillId="2" borderId="0" xfId="1" applyFont="1" applyFill="1" applyProtection="1">
      <protection locked="0"/>
    </xf>
    <xf numFmtId="0" fontId="5" fillId="2" borderId="0" xfId="0" applyFont="1" applyFill="1" applyAlignment="1" applyProtection="1">
      <alignment horizontal="center"/>
      <protection locked="0"/>
    </xf>
    <xf numFmtId="0" fontId="5" fillId="0" borderId="0" xfId="0" applyFont="1" applyAlignment="1" applyProtection="1">
      <alignment horizontal="left" indent="3"/>
      <protection locked="0"/>
    </xf>
    <xf numFmtId="0" fontId="5" fillId="0" borderId="0" xfId="0" applyFont="1" applyAlignment="1" applyProtection="1">
      <alignment horizontal="left" indent="1"/>
      <protection locked="0"/>
    </xf>
    <xf numFmtId="0" fontId="6" fillId="0" borderId="0" xfId="0" applyFont="1" applyAlignment="1" applyProtection="1">
      <alignment horizontal="left" indent="1"/>
      <protection locked="0"/>
    </xf>
    <xf numFmtId="0" fontId="5" fillId="0" borderId="0" xfId="0" applyFont="1" applyFill="1" applyAlignment="1" applyProtection="1">
      <alignment horizontal="left" indent="2"/>
      <protection locked="0"/>
    </xf>
    <xf numFmtId="0" fontId="6" fillId="0" borderId="0" xfId="0" applyFont="1" applyAlignment="1" applyProtection="1">
      <alignment horizontal="left" indent="3"/>
      <protection hidden="1"/>
    </xf>
    <xf numFmtId="9" fontId="6" fillId="0" borderId="0" xfId="2" applyFont="1" applyProtection="1">
      <protection hidden="1"/>
    </xf>
    <xf numFmtId="0" fontId="5" fillId="0" borderId="0" xfId="0" applyFont="1" applyFill="1" applyAlignment="1" applyProtection="1">
      <alignment horizontal="center"/>
      <protection hidden="1"/>
    </xf>
    <xf numFmtId="0" fontId="4" fillId="0" borderId="3" xfId="0" applyFont="1" applyFill="1" applyBorder="1" applyAlignment="1" applyProtection="1">
      <alignment horizontal="center"/>
      <protection hidden="1"/>
    </xf>
    <xf numFmtId="43" fontId="5" fillId="0" borderId="0" xfId="1" applyFont="1" applyFill="1" applyAlignment="1" applyProtection="1">
      <alignment horizontal="center"/>
      <protection hidden="1"/>
    </xf>
    <xf numFmtId="43" fontId="4" fillId="0" borderId="3" xfId="1" applyFont="1" applyFill="1" applyBorder="1" applyAlignment="1" applyProtection="1">
      <alignment horizontal="center"/>
      <protection hidden="1"/>
    </xf>
    <xf numFmtId="0" fontId="4" fillId="0" borderId="4" xfId="0" applyFont="1" applyFill="1" applyBorder="1" applyProtection="1">
      <protection hidden="1"/>
    </xf>
    <xf numFmtId="0" fontId="5" fillId="0" borderId="4" xfId="0" applyFont="1" applyFill="1" applyBorder="1" applyProtection="1">
      <protection hidden="1"/>
    </xf>
    <xf numFmtId="43" fontId="4" fillId="0" borderId="4" xfId="1" applyFont="1" applyFill="1" applyBorder="1" applyProtection="1">
      <protection hidden="1"/>
    </xf>
    <xf numFmtId="0" fontId="6" fillId="0" borderId="0" xfId="0" applyFont="1" applyAlignment="1" applyProtection="1">
      <alignment horizontal="left" indent="1"/>
      <protection hidden="1"/>
    </xf>
    <xf numFmtId="43" fontId="4" fillId="0" borderId="0" xfId="1" applyFont="1" applyProtection="1">
      <protection hidden="1"/>
    </xf>
    <xf numFmtId="10" fontId="5" fillId="2" borderId="0" xfId="0" applyNumberFormat="1" applyFont="1" applyFill="1" applyProtection="1">
      <protection locked="0"/>
    </xf>
    <xf numFmtId="0" fontId="4" fillId="0" borderId="5" xfId="0" applyFont="1" applyBorder="1" applyAlignment="1" applyProtection="1">
      <alignment horizontal="left" indent="2"/>
      <protection locked="0"/>
    </xf>
    <xf numFmtId="0" fontId="5" fillId="0" borderId="5" xfId="0" applyFont="1" applyBorder="1" applyProtection="1">
      <protection locked="0"/>
    </xf>
    <xf numFmtId="0" fontId="4" fillId="0" borderId="5" xfId="0" applyFont="1" applyBorder="1" applyProtection="1">
      <protection locked="0"/>
    </xf>
    <xf numFmtId="10" fontId="5" fillId="2" borderId="0" xfId="2" applyNumberFormat="1" applyFont="1" applyFill="1" applyProtection="1">
      <protection locked="0"/>
    </xf>
    <xf numFmtId="10" fontId="6" fillId="0" borderId="0" xfId="0" applyNumberFormat="1" applyFont="1" applyProtection="1">
      <protection hidden="1"/>
    </xf>
    <xf numFmtId="10" fontId="5" fillId="0" borderId="0" xfId="0" applyNumberFormat="1" applyFont="1" applyFill="1" applyProtection="1">
      <protection hidden="1"/>
    </xf>
    <xf numFmtId="10" fontId="5" fillId="0" borderId="0" xfId="0" applyNumberFormat="1" applyFont="1" applyProtection="1">
      <protection hidden="1"/>
    </xf>
    <xf numFmtId="43" fontId="5" fillId="0" borderId="1" xfId="1" applyFont="1" applyFill="1" applyBorder="1" applyProtection="1">
      <protection hidden="1"/>
    </xf>
    <xf numFmtId="43" fontId="5" fillId="0" borderId="4" xfId="1" applyFont="1" applyFill="1" applyBorder="1" applyProtection="1">
      <protection hidden="1"/>
    </xf>
    <xf numFmtId="0" fontId="4" fillId="0" borderId="4" xfId="0" applyFont="1" applyBorder="1" applyProtection="1">
      <protection hidden="1"/>
    </xf>
    <xf numFmtId="0" fontId="5" fillId="0" borderId="4" xfId="0" applyFont="1" applyBorder="1" applyProtection="1">
      <protection hidden="1"/>
    </xf>
    <xf numFmtId="0" fontId="4" fillId="0" borderId="0" xfId="0" applyFont="1" applyAlignment="1" applyProtection="1">
      <alignment horizontal="left"/>
      <protection locked="0"/>
    </xf>
    <xf numFmtId="0" fontId="5" fillId="0" borderId="0" xfId="0" applyFont="1" applyFill="1" applyBorder="1" applyProtection="1">
      <protection locked="0"/>
    </xf>
    <xf numFmtId="10" fontId="6" fillId="0" borderId="0" xfId="0" applyNumberFormat="1" applyFont="1" applyFill="1" applyProtection="1">
      <protection hidden="1"/>
    </xf>
    <xf numFmtId="0" fontId="5" fillId="3" borderId="0" xfId="0" applyFont="1" applyFill="1" applyBorder="1" applyProtection="1">
      <protection hidden="1"/>
    </xf>
    <xf numFmtId="0" fontId="4" fillId="3" borderId="0" xfId="0" applyFont="1" applyFill="1" applyBorder="1" applyProtection="1">
      <protection hidden="1"/>
    </xf>
    <xf numFmtId="43" fontId="5" fillId="3" borderId="0" xfId="1" applyFont="1" applyFill="1" applyBorder="1" applyProtection="1">
      <protection hidden="1"/>
    </xf>
    <xf numFmtId="0" fontId="5" fillId="3" borderId="0" xfId="0" applyFont="1" applyFill="1" applyAlignment="1" applyProtection="1">
      <alignment horizontal="left" indent="2"/>
      <protection hidden="1"/>
    </xf>
    <xf numFmtId="43" fontId="4" fillId="3" borderId="0" xfId="1" applyFont="1" applyFill="1" applyBorder="1" applyProtection="1">
      <protection hidden="1"/>
    </xf>
    <xf numFmtId="0" fontId="4" fillId="3" borderId="0" xfId="0" applyFont="1" applyFill="1" applyBorder="1" applyAlignment="1" applyProtection="1">
      <alignment horizontal="center"/>
      <protection hidden="1"/>
    </xf>
    <xf numFmtId="43" fontId="5" fillId="2" borderId="0" xfId="1" applyNumberFormat="1" applyFont="1" applyFill="1" applyProtection="1">
      <protection locked="0"/>
    </xf>
    <xf numFmtId="0" fontId="4" fillId="0" borderId="0" xfId="0" applyFont="1" applyAlignment="1" applyProtection="1">
      <alignment horizontal="left" indent="1"/>
      <protection locked="0"/>
    </xf>
    <xf numFmtId="43" fontId="4" fillId="0" borderId="0" xfId="1" applyNumberFormat="1" applyFont="1" applyFill="1" applyProtection="1">
      <protection locked="0"/>
    </xf>
    <xf numFmtId="43" fontId="5" fillId="0" borderId="0" xfId="1" applyNumberFormat="1" applyFont="1" applyFill="1" applyProtection="1">
      <protection hidden="1"/>
    </xf>
    <xf numFmtId="43" fontId="4" fillId="0" borderId="0" xfId="1" applyNumberFormat="1" applyFont="1" applyFill="1" applyProtection="1">
      <protection hidden="1"/>
    </xf>
    <xf numFmtId="0" fontId="5" fillId="0" borderId="0" xfId="0" applyFont="1" applyAlignment="1" applyProtection="1">
      <alignment horizontal="left"/>
      <protection hidden="1"/>
    </xf>
    <xf numFmtId="0" fontId="6" fillId="0" borderId="0" xfId="0" applyFont="1" applyAlignment="1" applyProtection="1">
      <alignment horizontal="left"/>
      <protection hidden="1"/>
    </xf>
    <xf numFmtId="4" fontId="5" fillId="3" borderId="0" xfId="0" applyNumberFormat="1" applyFont="1" applyFill="1" applyBorder="1" applyProtection="1">
      <protection hidden="1"/>
    </xf>
    <xf numFmtId="164" fontId="5" fillId="2" borderId="0" xfId="1" applyNumberFormat="1" applyFont="1" applyFill="1" applyProtection="1">
      <protection locked="0"/>
    </xf>
    <xf numFmtId="164" fontId="5" fillId="0" borderId="0" xfId="1" applyNumberFormat="1" applyFont="1" applyProtection="1">
      <protection locked="0"/>
    </xf>
    <xf numFmtId="164" fontId="5" fillId="0" borderId="0" xfId="1" applyNumberFormat="1" applyFont="1" applyFill="1" applyProtection="1">
      <protection locked="0"/>
    </xf>
    <xf numFmtId="164" fontId="4" fillId="0" borderId="3" xfId="1" applyNumberFormat="1" applyFont="1" applyFill="1" applyBorder="1" applyProtection="1">
      <protection locked="0"/>
    </xf>
    <xf numFmtId="0" fontId="4" fillId="0" borderId="0" xfId="0" applyFont="1" applyFill="1" applyBorder="1" applyProtection="1">
      <protection locked="0"/>
    </xf>
    <xf numFmtId="0" fontId="4" fillId="0" borderId="0" xfId="0" applyFont="1" applyFill="1" applyProtection="1">
      <protection locked="0"/>
    </xf>
    <xf numFmtId="0" fontId="4" fillId="0" borderId="0" xfId="0" applyFont="1" applyFill="1" applyAlignment="1" applyProtection="1">
      <alignment horizontal="center"/>
      <protection locked="0"/>
    </xf>
    <xf numFmtId="10" fontId="5" fillId="2" borderId="0" xfId="0" applyNumberFormat="1" applyFont="1" applyFill="1" applyAlignment="1" applyProtection="1">
      <protection locked="0"/>
    </xf>
    <xf numFmtId="10" fontId="5" fillId="0" borderId="0" xfId="0" applyNumberFormat="1" applyFont="1" applyFill="1" applyAlignment="1" applyProtection="1">
      <protection locked="0"/>
    </xf>
    <xf numFmtId="10" fontId="5" fillId="0" borderId="0" xfId="0" applyNumberFormat="1" applyFont="1" applyFill="1" applyBorder="1" applyAlignment="1" applyProtection="1">
      <protection locked="0"/>
    </xf>
    <xf numFmtId="0" fontId="4" fillId="0" borderId="0" xfId="0" applyFont="1" applyFill="1" applyAlignment="1" applyProtection="1">
      <alignment horizontal="left" indent="2"/>
      <protection locked="0"/>
    </xf>
    <xf numFmtId="10" fontId="4" fillId="0" borderId="0" xfId="0" applyNumberFormat="1" applyFont="1" applyFill="1" applyBorder="1" applyAlignment="1" applyProtection="1">
      <protection locked="0"/>
    </xf>
    <xf numFmtId="0" fontId="4" fillId="3" borderId="0" xfId="0" applyFont="1" applyFill="1" applyAlignment="1" applyProtection="1">
      <alignment horizontal="left"/>
      <protection hidden="1"/>
    </xf>
    <xf numFmtId="164" fontId="5" fillId="3" borderId="0" xfId="1" applyNumberFormat="1" applyFont="1" applyFill="1" applyProtection="1">
      <protection hidden="1"/>
    </xf>
    <xf numFmtId="164" fontId="5" fillId="3" borderId="0" xfId="1" applyNumberFormat="1" applyFont="1" applyFill="1" applyBorder="1" applyProtection="1">
      <protection hidden="1"/>
    </xf>
    <xf numFmtId="0" fontId="10" fillId="4" borderId="0" xfId="0" applyFont="1" applyFill="1" applyBorder="1" applyProtection="1"/>
    <xf numFmtId="0" fontId="10" fillId="4" borderId="0" xfId="0" applyFont="1" applyFill="1" applyProtection="1"/>
    <xf numFmtId="0" fontId="0" fillId="4" borderId="0" xfId="0" applyFill="1" applyProtection="1">
      <protection hidden="1"/>
    </xf>
    <xf numFmtId="0" fontId="0" fillId="4" borderId="0" xfId="0" applyFill="1" applyAlignment="1" applyProtection="1">
      <alignment horizontal="center"/>
      <protection hidden="1"/>
    </xf>
    <xf numFmtId="43" fontId="0" fillId="4" borderId="0" xfId="0" applyNumberFormat="1" applyFill="1" applyProtection="1">
      <protection hidden="1"/>
    </xf>
    <xf numFmtId="165" fontId="0" fillId="4" borderId="0" xfId="0" applyNumberFormat="1" applyFill="1" applyProtection="1">
      <protection hidden="1"/>
    </xf>
    <xf numFmtId="164" fontId="0" fillId="4" borderId="0" xfId="1" applyNumberFormat="1" applyFont="1" applyFill="1" applyProtection="1">
      <protection hidden="1"/>
    </xf>
    <xf numFmtId="164" fontId="0" fillId="4" borderId="0" xfId="0" applyNumberFormat="1" applyFill="1" applyProtection="1">
      <protection hidden="1"/>
    </xf>
    <xf numFmtId="9" fontId="0" fillId="4" borderId="0" xfId="2" applyFont="1" applyFill="1" applyProtection="1">
      <protection hidden="1"/>
    </xf>
    <xf numFmtId="166" fontId="0" fillId="4" borderId="0" xfId="2" applyNumberFormat="1" applyFont="1" applyFill="1" applyProtection="1">
      <protection hidden="1"/>
    </xf>
    <xf numFmtId="166" fontId="0" fillId="4" borderId="0" xfId="0" applyNumberFormat="1" applyFill="1" applyProtection="1">
      <protection hidden="1"/>
    </xf>
    <xf numFmtId="1" fontId="0" fillId="4" borderId="0" xfId="0" applyNumberFormat="1" applyFill="1" applyProtection="1">
      <protection hidden="1"/>
    </xf>
    <xf numFmtId="0" fontId="5" fillId="4" borderId="0" xfId="0" applyFont="1" applyFill="1" applyProtection="1">
      <protection hidden="1"/>
    </xf>
    <xf numFmtId="43" fontId="5" fillId="4" borderId="0" xfId="0" applyNumberFormat="1" applyFont="1" applyFill="1" applyProtection="1">
      <protection hidden="1"/>
    </xf>
  </cellXfs>
  <cellStyles count="4">
    <cellStyle name="Komma" xfId="1" builtinId="3"/>
    <cellStyle name="Normal_CASHFLOW.XLS" xfId="3" xr:uid="{2FBBC9E2-37D9-496E-A63F-2B643EC2C05F}"/>
    <cellStyle name="Prozent" xfId="2"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Scalability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lineChart>
        <c:grouping val="standard"/>
        <c:varyColors val="0"/>
        <c:ser>
          <c:idx val="0"/>
          <c:order val="0"/>
          <c:tx>
            <c:strRef>
              <c:f>DASHBOARD!$A$5</c:f>
              <c:strCache>
                <c:ptCount val="1"/>
                <c:pt idx="0">
                  <c:v>Revenue in 000s</c:v>
                </c:pt>
              </c:strCache>
            </c:strRef>
          </c:tx>
          <c:spPr>
            <a:ln w="28575" cap="rnd">
              <a:solidFill>
                <a:schemeClr val="accent6"/>
              </a:solidFill>
              <a:round/>
            </a:ln>
            <a:effectLst/>
          </c:spPr>
          <c:marker>
            <c:symbol val="none"/>
          </c:marker>
          <c:val>
            <c:numRef>
              <c:f>DASHBOARD!$B$5:$F$5</c:f>
              <c:numCache>
                <c:formatCode>_-* #\ ##0_-;\-* #\ ##0_-;_-* "-"??_-;_-@_-</c:formatCode>
                <c:ptCount val="5"/>
                <c:pt idx="0">
                  <c:v>2990</c:v>
                </c:pt>
                <c:pt idx="1">
                  <c:v>4605</c:v>
                </c:pt>
                <c:pt idx="2">
                  <c:v>11570</c:v>
                </c:pt>
                <c:pt idx="3">
                  <c:v>25375</c:v>
                </c:pt>
                <c:pt idx="4">
                  <c:v>47600</c:v>
                </c:pt>
              </c:numCache>
            </c:numRef>
          </c:val>
          <c:smooth val="0"/>
          <c:extLst>
            <c:ext xmlns:c16="http://schemas.microsoft.com/office/drawing/2014/chart" uri="{C3380CC4-5D6E-409C-BE32-E72D297353CC}">
              <c16:uniqueId val="{00000000-4524-41EA-B8F0-403425870841}"/>
            </c:ext>
          </c:extLst>
        </c:ser>
        <c:ser>
          <c:idx val="1"/>
          <c:order val="1"/>
          <c:tx>
            <c:strRef>
              <c:f>DASHBOARD!$A$6</c:f>
              <c:strCache>
                <c:ptCount val="1"/>
                <c:pt idx="0">
                  <c:v>BE (Revenue) in 000s</c:v>
                </c:pt>
              </c:strCache>
            </c:strRef>
          </c:tx>
          <c:spPr>
            <a:ln w="28575" cap="rnd">
              <a:solidFill>
                <a:schemeClr val="accent5"/>
              </a:solidFill>
              <a:round/>
            </a:ln>
            <a:effectLst/>
          </c:spPr>
          <c:marker>
            <c:symbol val="none"/>
          </c:marker>
          <c:val>
            <c:numRef>
              <c:f>DASHBOARD!$B$6:$F$6</c:f>
              <c:numCache>
                <c:formatCode>_-* #\ ##0_-;\-* #\ ##0_-;_-* "-"??_-;_-@_-</c:formatCode>
                <c:ptCount val="5"/>
                <c:pt idx="0">
                  <c:v>1324.5012159787757</c:v>
                </c:pt>
                <c:pt idx="1">
                  <c:v>1942.1497403821697</c:v>
                </c:pt>
                <c:pt idx="2">
                  <c:v>2290.0449952419463</c:v>
                </c:pt>
                <c:pt idx="3">
                  <c:v>2489.837321129251</c:v>
                </c:pt>
                <c:pt idx="4">
                  <c:v>2855.9793386902738</c:v>
                </c:pt>
              </c:numCache>
            </c:numRef>
          </c:val>
          <c:smooth val="0"/>
          <c:extLst>
            <c:ext xmlns:c16="http://schemas.microsoft.com/office/drawing/2014/chart" uri="{C3380CC4-5D6E-409C-BE32-E72D297353CC}">
              <c16:uniqueId val="{00000001-4524-41EA-B8F0-403425870841}"/>
            </c:ext>
          </c:extLst>
        </c:ser>
        <c:dLbls>
          <c:showLegendKey val="0"/>
          <c:showVal val="0"/>
          <c:showCatName val="0"/>
          <c:showSerName val="0"/>
          <c:showPercent val="0"/>
          <c:showBubbleSize val="0"/>
        </c:dLbls>
        <c:smooth val="0"/>
        <c:axId val="488511120"/>
        <c:axId val="488511440"/>
      </c:lineChart>
      <c:catAx>
        <c:axId val="4885111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Year</a:t>
                </a:r>
              </a:p>
            </c:rich>
          </c:tx>
          <c:layout>
            <c:manualLayout>
              <c:xMode val="edge"/>
              <c:yMode val="edge"/>
              <c:x val="0.62518788276465442"/>
              <c:y val="0.6286803732866724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488511440"/>
        <c:crosses val="autoZero"/>
        <c:auto val="1"/>
        <c:lblAlgn val="ctr"/>
        <c:lblOffset val="100"/>
        <c:noMultiLvlLbl val="0"/>
      </c:catAx>
      <c:valAx>
        <c:axId val="4885114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 in 000s currency units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4885111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ID4096"/>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Profitability Ratios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barChart>
        <c:barDir val="col"/>
        <c:grouping val="clustered"/>
        <c:varyColors val="0"/>
        <c:ser>
          <c:idx val="0"/>
          <c:order val="0"/>
          <c:tx>
            <c:strRef>
              <c:f>DASHBOARD!$A$83</c:f>
              <c:strCache>
                <c:ptCount val="1"/>
                <c:pt idx="0">
                  <c:v>Gross Profit Margin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DASHBOARD!$B$82:$F$82</c:f>
              <c:numCache>
                <c:formatCode>General</c:formatCode>
                <c:ptCount val="5"/>
                <c:pt idx="0">
                  <c:v>1</c:v>
                </c:pt>
                <c:pt idx="1">
                  <c:v>2</c:v>
                </c:pt>
                <c:pt idx="2">
                  <c:v>3</c:v>
                </c:pt>
                <c:pt idx="3">
                  <c:v>4</c:v>
                </c:pt>
                <c:pt idx="4">
                  <c:v>5</c:v>
                </c:pt>
              </c:numCache>
            </c:numRef>
          </c:cat>
          <c:val>
            <c:numRef>
              <c:f>DASHBOARD!$B$83:$F$83</c:f>
              <c:numCache>
                <c:formatCode>0.0%</c:formatCode>
                <c:ptCount val="5"/>
                <c:pt idx="0">
                  <c:v>0.60302914476827518</c:v>
                </c:pt>
                <c:pt idx="1">
                  <c:v>0.58801613153404675</c:v>
                </c:pt>
                <c:pt idx="2">
                  <c:v>0.67928386220521053</c:v>
                </c:pt>
                <c:pt idx="3">
                  <c:v>0.75298015482054892</c:v>
                </c:pt>
                <c:pt idx="4">
                  <c:v>0.78562244897959177</c:v>
                </c:pt>
              </c:numCache>
            </c:numRef>
          </c:val>
          <c:extLst>
            <c:ext xmlns:c16="http://schemas.microsoft.com/office/drawing/2014/chart" uri="{C3380CC4-5D6E-409C-BE32-E72D297353CC}">
              <c16:uniqueId val="{00000000-658C-48A1-BE9A-642F155B9140}"/>
            </c:ext>
          </c:extLst>
        </c:ser>
        <c:dLbls>
          <c:dLblPos val="outEnd"/>
          <c:showLegendKey val="0"/>
          <c:showVal val="1"/>
          <c:showCatName val="0"/>
          <c:showSerName val="0"/>
          <c:showPercent val="0"/>
          <c:showBubbleSize val="0"/>
        </c:dLbls>
        <c:gapWidth val="150"/>
        <c:axId val="578899000"/>
        <c:axId val="578899320"/>
      </c:barChart>
      <c:lineChart>
        <c:grouping val="standard"/>
        <c:varyColors val="0"/>
        <c:ser>
          <c:idx val="1"/>
          <c:order val="1"/>
          <c:tx>
            <c:strRef>
              <c:f>DASHBOARD!$A$84</c:f>
              <c:strCache>
                <c:ptCount val="1"/>
                <c:pt idx="0">
                  <c:v>EBIT Margin</c:v>
                </c:pt>
              </c:strCache>
            </c:strRef>
          </c:tx>
          <c:spPr>
            <a:ln w="28575" cap="rnd">
              <a:solidFill>
                <a:schemeClr val="accent5"/>
              </a:solidFill>
              <a:round/>
            </a:ln>
            <a:effectLst/>
          </c:spPr>
          <c:marker>
            <c:symbol val="none"/>
          </c:marker>
          <c:dLbls>
            <c:dLbl>
              <c:idx val="0"/>
              <c:layout>
                <c:manualLayout>
                  <c:x val="-4.8682745825602967E-2"/>
                  <c:y val="-4.16666666666667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58C-48A1-BE9A-642F155B9140}"/>
                </c:ext>
              </c:extLst>
            </c:dLbl>
            <c:dLbl>
              <c:idx val="1"/>
              <c:layout>
                <c:manualLayout>
                  <c:x val="-4.6209029066171921E-2"/>
                  <c:y val="-4.62962962962963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58C-48A1-BE9A-642F155B9140}"/>
                </c:ext>
              </c:extLst>
            </c:dLbl>
            <c:dLbl>
              <c:idx val="2"/>
              <c:layout>
                <c:manualLayout>
                  <c:x val="-4.6209029066171921E-2"/>
                  <c:y val="-4.62962962962962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58C-48A1-BE9A-642F155B9140}"/>
                </c:ext>
              </c:extLst>
            </c:dLbl>
            <c:dLbl>
              <c:idx val="3"/>
              <c:layout>
                <c:manualLayout>
                  <c:x val="-4.8682745825603058E-2"/>
                  <c:y val="-3.2407407407407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58C-48A1-BE9A-642F155B9140}"/>
                </c:ext>
              </c:extLst>
            </c:dLbl>
            <c:dLbl>
              <c:idx val="4"/>
              <c:layout>
                <c:manualLayout>
                  <c:x val="-4.8682745825602967E-2"/>
                  <c:y val="-3.24074074074074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58C-48A1-BE9A-642F155B91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lumMod val="75000"/>
                        <a:lumOff val="25000"/>
                      </a:schemeClr>
                    </a:solidFill>
                    <a:latin typeface="+mn-lt"/>
                    <a:ea typeface="+mn-ea"/>
                    <a:cs typeface="+mn-cs"/>
                  </a:defRPr>
                </a:pPr>
                <a:endParaRPr lang="LID4096"/>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DASHBOARD!$B$82:$F$82</c:f>
              <c:numCache>
                <c:formatCode>General</c:formatCode>
                <c:ptCount val="5"/>
                <c:pt idx="0">
                  <c:v>1</c:v>
                </c:pt>
                <c:pt idx="1">
                  <c:v>2</c:v>
                </c:pt>
                <c:pt idx="2">
                  <c:v>3</c:v>
                </c:pt>
                <c:pt idx="3">
                  <c:v>4</c:v>
                </c:pt>
                <c:pt idx="4">
                  <c:v>5</c:v>
                </c:pt>
              </c:numCache>
            </c:numRef>
          </c:cat>
          <c:val>
            <c:numRef>
              <c:f>DASHBOARD!$B$84:$F$84</c:f>
              <c:numCache>
                <c:formatCode>0.0%</c:formatCode>
                <c:ptCount val="5"/>
                <c:pt idx="0">
                  <c:v>9.2527472527472482E-2</c:v>
                </c:pt>
                <c:pt idx="1">
                  <c:v>0.10750364510625091</c:v>
                </c:pt>
                <c:pt idx="2">
                  <c:v>0.30311618718360289</c:v>
                </c:pt>
                <c:pt idx="3">
                  <c:v>0.415787642505278</c:v>
                </c:pt>
                <c:pt idx="4">
                  <c:v>0.4640623649459783</c:v>
                </c:pt>
              </c:numCache>
            </c:numRef>
          </c:val>
          <c:smooth val="0"/>
          <c:extLst>
            <c:ext xmlns:c16="http://schemas.microsoft.com/office/drawing/2014/chart" uri="{C3380CC4-5D6E-409C-BE32-E72D297353CC}">
              <c16:uniqueId val="{00000001-658C-48A1-BE9A-642F155B9140}"/>
            </c:ext>
          </c:extLst>
        </c:ser>
        <c:dLbls>
          <c:showLegendKey val="0"/>
          <c:showVal val="1"/>
          <c:showCatName val="0"/>
          <c:showSerName val="0"/>
          <c:showPercent val="0"/>
          <c:showBubbleSize val="0"/>
        </c:dLbls>
        <c:marker val="1"/>
        <c:smooth val="0"/>
        <c:axId val="578899000"/>
        <c:axId val="578899320"/>
      </c:lineChart>
      <c:catAx>
        <c:axId val="578899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578899320"/>
        <c:crosses val="autoZero"/>
        <c:auto val="1"/>
        <c:lblAlgn val="ctr"/>
        <c:lblOffset val="100"/>
        <c:noMultiLvlLbl val="0"/>
      </c:catAx>
      <c:valAx>
        <c:axId val="578899320"/>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5788990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Capital Structure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barChart>
        <c:barDir val="col"/>
        <c:grouping val="stacked"/>
        <c:varyColors val="0"/>
        <c:ser>
          <c:idx val="0"/>
          <c:order val="0"/>
          <c:tx>
            <c:strRef>
              <c:f>DASHBOARD!$A$67</c:f>
              <c:strCache>
                <c:ptCount val="1"/>
                <c:pt idx="0">
                  <c:v>Equity</c:v>
                </c:pt>
              </c:strCache>
            </c:strRef>
          </c:tx>
          <c:spPr>
            <a:solidFill>
              <a:schemeClr val="accent6"/>
            </a:solidFill>
            <a:ln>
              <a:noFill/>
            </a:ln>
            <a:effectLst/>
          </c:spPr>
          <c:invertIfNegative val="0"/>
          <c:val>
            <c:numRef>
              <c:f>DASHBOARD!$B$67:$F$67</c:f>
              <c:numCache>
                <c:formatCode>0.0%</c:formatCode>
                <c:ptCount val="5"/>
                <c:pt idx="0">
                  <c:v>0.85121951119764583</c:v>
                </c:pt>
                <c:pt idx="1">
                  <c:v>0.70445556542822541</c:v>
                </c:pt>
                <c:pt idx="2">
                  <c:v>0.76356560962051656</c:v>
                </c:pt>
                <c:pt idx="3">
                  <c:v>0.82511060869926989</c:v>
                </c:pt>
                <c:pt idx="4">
                  <c:v>0.86343033589964702</c:v>
                </c:pt>
              </c:numCache>
            </c:numRef>
          </c:val>
          <c:extLst>
            <c:ext xmlns:c16="http://schemas.microsoft.com/office/drawing/2014/chart" uri="{C3380CC4-5D6E-409C-BE32-E72D297353CC}">
              <c16:uniqueId val="{00000000-B0B9-4C3F-A323-FFBD0D5B2B7F}"/>
            </c:ext>
          </c:extLst>
        </c:ser>
        <c:ser>
          <c:idx val="1"/>
          <c:order val="1"/>
          <c:tx>
            <c:strRef>
              <c:f>DASHBOARD!$A$68</c:f>
              <c:strCache>
                <c:ptCount val="1"/>
                <c:pt idx="0">
                  <c:v>Debt</c:v>
                </c:pt>
              </c:strCache>
            </c:strRef>
          </c:tx>
          <c:spPr>
            <a:solidFill>
              <a:schemeClr val="accent5"/>
            </a:solidFill>
            <a:ln>
              <a:noFill/>
            </a:ln>
            <a:effectLst/>
          </c:spPr>
          <c:invertIfNegative val="0"/>
          <c:val>
            <c:numRef>
              <c:f>DASHBOARD!$B$68:$F$68</c:f>
              <c:numCache>
                <c:formatCode>0.0%</c:formatCode>
                <c:ptCount val="5"/>
                <c:pt idx="0">
                  <c:v>0.14878048880235412</c:v>
                </c:pt>
                <c:pt idx="1">
                  <c:v>0.29554443457177454</c:v>
                </c:pt>
                <c:pt idx="2">
                  <c:v>0.23643439037948333</c:v>
                </c:pt>
                <c:pt idx="3">
                  <c:v>0.17488939130073008</c:v>
                </c:pt>
                <c:pt idx="4">
                  <c:v>0.13656966410035301</c:v>
                </c:pt>
              </c:numCache>
            </c:numRef>
          </c:val>
          <c:extLst>
            <c:ext xmlns:c16="http://schemas.microsoft.com/office/drawing/2014/chart" uri="{C3380CC4-5D6E-409C-BE32-E72D297353CC}">
              <c16:uniqueId val="{00000001-B0B9-4C3F-A323-FFBD0D5B2B7F}"/>
            </c:ext>
          </c:extLst>
        </c:ser>
        <c:dLbls>
          <c:dLblPos val="ctr"/>
          <c:showLegendKey val="0"/>
          <c:showVal val="0"/>
          <c:showCatName val="0"/>
          <c:showSerName val="0"/>
          <c:showPercent val="0"/>
          <c:showBubbleSize val="0"/>
        </c:dLbls>
        <c:gapWidth val="219"/>
        <c:overlap val="100"/>
        <c:axId val="628846736"/>
        <c:axId val="628844496"/>
      </c:barChart>
      <c:lineChart>
        <c:grouping val="standard"/>
        <c:varyColors val="0"/>
        <c:ser>
          <c:idx val="2"/>
          <c:order val="2"/>
          <c:tx>
            <c:strRef>
              <c:f>DASHBOARD!$A$69</c:f>
              <c:strCache>
                <c:ptCount val="1"/>
                <c:pt idx="0">
                  <c:v>Debt/Equity Ratio</c:v>
                </c:pt>
              </c:strCache>
            </c:strRef>
          </c:tx>
          <c:spPr>
            <a:ln w="28575" cap="rnd">
              <a:solidFill>
                <a:schemeClr val="accent4"/>
              </a:solidFill>
              <a:round/>
            </a:ln>
            <a:effectLst/>
          </c:spPr>
          <c:marker>
            <c:symbol val="none"/>
          </c:marker>
          <c:val>
            <c:numRef>
              <c:f>DASHBOARD!$B$69:$F$69</c:f>
              <c:numCache>
                <c:formatCode>0.0%</c:formatCode>
                <c:ptCount val="5"/>
                <c:pt idx="0">
                  <c:v>0.17478510166316968</c:v>
                </c:pt>
                <c:pt idx="1">
                  <c:v>0.41953594956996121</c:v>
                </c:pt>
                <c:pt idx="2">
                  <c:v>0.30964515347540145</c:v>
                </c:pt>
                <c:pt idx="3">
                  <c:v>0.21195872342064681</c:v>
                </c:pt>
                <c:pt idx="4">
                  <c:v>0.15817102830659166</c:v>
                </c:pt>
              </c:numCache>
            </c:numRef>
          </c:val>
          <c:smooth val="0"/>
          <c:extLst>
            <c:ext xmlns:c16="http://schemas.microsoft.com/office/drawing/2014/chart" uri="{C3380CC4-5D6E-409C-BE32-E72D297353CC}">
              <c16:uniqueId val="{00000002-B0B9-4C3F-A323-FFBD0D5B2B7F}"/>
            </c:ext>
          </c:extLst>
        </c:ser>
        <c:dLbls>
          <c:dLblPos val="ctr"/>
          <c:showLegendKey val="0"/>
          <c:showVal val="0"/>
          <c:showCatName val="0"/>
          <c:showSerName val="0"/>
          <c:showPercent val="0"/>
          <c:showBubbleSize val="0"/>
        </c:dLbls>
        <c:marker val="1"/>
        <c:smooth val="0"/>
        <c:axId val="628852496"/>
        <c:axId val="628852176"/>
      </c:lineChart>
      <c:catAx>
        <c:axId val="628846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alpha val="95000"/>
                  </a:schemeClr>
                </a:solidFill>
                <a:latin typeface="+mn-lt"/>
                <a:ea typeface="+mn-ea"/>
                <a:cs typeface="+mn-cs"/>
              </a:defRPr>
            </a:pPr>
            <a:endParaRPr lang="LID4096"/>
          </a:p>
        </c:txPr>
        <c:crossAx val="628844496"/>
        <c:crosses val="autoZero"/>
        <c:auto val="1"/>
        <c:lblAlgn val="ctr"/>
        <c:lblOffset val="100"/>
        <c:noMultiLvlLbl val="0"/>
      </c:catAx>
      <c:valAx>
        <c:axId val="6288444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Capital Structure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628846736"/>
        <c:crosses val="autoZero"/>
        <c:crossBetween val="between"/>
      </c:valAx>
      <c:valAx>
        <c:axId val="62885217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Debt/Equity Ratio</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628852496"/>
        <c:crosses val="max"/>
        <c:crossBetween val="between"/>
      </c:valAx>
      <c:catAx>
        <c:axId val="628852496"/>
        <c:scaling>
          <c:orientation val="minMax"/>
        </c:scaling>
        <c:delete val="1"/>
        <c:axPos val="t"/>
        <c:majorTickMark val="out"/>
        <c:minorTickMark val="none"/>
        <c:tickLblPos val="nextTo"/>
        <c:crossAx val="628852176"/>
        <c:crosses val="max"/>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ID4096"/>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Cost of Capital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lineChart>
        <c:grouping val="standard"/>
        <c:varyColors val="0"/>
        <c:ser>
          <c:idx val="0"/>
          <c:order val="0"/>
          <c:tx>
            <c:strRef>
              <c:f>DASHBOARD!$H$83</c:f>
              <c:strCache>
                <c:ptCount val="1"/>
                <c:pt idx="0">
                  <c:v>Cost of Equity</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DASHBOARD!$I$82:$M$82</c:f>
              <c:numCache>
                <c:formatCode>General</c:formatCode>
                <c:ptCount val="5"/>
                <c:pt idx="0">
                  <c:v>1</c:v>
                </c:pt>
                <c:pt idx="1">
                  <c:v>2</c:v>
                </c:pt>
                <c:pt idx="2">
                  <c:v>3</c:v>
                </c:pt>
                <c:pt idx="3">
                  <c:v>4</c:v>
                </c:pt>
                <c:pt idx="4">
                  <c:v>5</c:v>
                </c:pt>
              </c:numCache>
            </c:numRef>
          </c:cat>
          <c:val>
            <c:numRef>
              <c:f>DASHBOARD!$I$83:$M$83</c:f>
              <c:numCache>
                <c:formatCode>0.0%</c:formatCode>
                <c:ptCount val="5"/>
                <c:pt idx="0">
                  <c:v>0.10667032005975545</c:v>
                </c:pt>
                <c:pt idx="1">
                  <c:v>0.14636572864376346</c:v>
                </c:pt>
                <c:pt idx="2">
                  <c:v>0.53783575428061348</c:v>
                </c:pt>
                <c:pt idx="3">
                  <c:v>0.59678392477430087</c:v>
                </c:pt>
                <c:pt idx="4">
                  <c:v>0.55728412496390911</c:v>
                </c:pt>
              </c:numCache>
            </c:numRef>
          </c:val>
          <c:smooth val="0"/>
          <c:extLst>
            <c:ext xmlns:c16="http://schemas.microsoft.com/office/drawing/2014/chart" uri="{C3380CC4-5D6E-409C-BE32-E72D297353CC}">
              <c16:uniqueId val="{00000000-DC2E-4993-B0FF-5D742C08A430}"/>
            </c:ext>
          </c:extLst>
        </c:ser>
        <c:ser>
          <c:idx val="1"/>
          <c:order val="1"/>
          <c:tx>
            <c:strRef>
              <c:f>DASHBOARD!$H$84</c:f>
              <c:strCache>
                <c:ptCount val="1"/>
                <c:pt idx="0">
                  <c:v>Cost of Debt</c:v>
                </c:pt>
              </c:strCache>
            </c:strRef>
          </c:tx>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DASHBOARD!$I$82:$M$82</c:f>
              <c:numCache>
                <c:formatCode>General</c:formatCode>
                <c:ptCount val="5"/>
                <c:pt idx="0">
                  <c:v>1</c:v>
                </c:pt>
                <c:pt idx="1">
                  <c:v>2</c:v>
                </c:pt>
                <c:pt idx="2">
                  <c:v>3</c:v>
                </c:pt>
                <c:pt idx="3">
                  <c:v>4</c:v>
                </c:pt>
                <c:pt idx="4">
                  <c:v>5</c:v>
                </c:pt>
              </c:numCache>
            </c:numRef>
          </c:cat>
          <c:val>
            <c:numRef>
              <c:f>DASHBOARD!$I$84:$M$84</c:f>
              <c:numCache>
                <c:formatCode>0.0%</c:formatCode>
                <c:ptCount val="5"/>
                <c:pt idx="0">
                  <c:v>1.8038884619686196E-2</c:v>
                </c:pt>
                <c:pt idx="1">
                  <c:v>6.4152968047758899E-2</c:v>
                </c:pt>
                <c:pt idx="2">
                  <c:v>3.2137195831484333E-2</c:v>
                </c:pt>
                <c:pt idx="3">
                  <c:v>1.608035891361095E-2</c:v>
                </c:pt>
                <c:pt idx="4">
                  <c:v>2.9792609389949504E-3</c:v>
                </c:pt>
              </c:numCache>
            </c:numRef>
          </c:val>
          <c:smooth val="0"/>
          <c:extLst>
            <c:ext xmlns:c16="http://schemas.microsoft.com/office/drawing/2014/chart" uri="{C3380CC4-5D6E-409C-BE32-E72D297353CC}">
              <c16:uniqueId val="{00000001-DC2E-4993-B0FF-5D742C08A430}"/>
            </c:ext>
          </c:extLst>
        </c:ser>
        <c:dLbls>
          <c:dLblPos val="t"/>
          <c:showLegendKey val="0"/>
          <c:showVal val="1"/>
          <c:showCatName val="0"/>
          <c:showSerName val="0"/>
          <c:showPercent val="0"/>
          <c:showBubbleSize val="0"/>
        </c:dLbls>
        <c:smooth val="0"/>
        <c:axId val="649739512"/>
        <c:axId val="649743352"/>
      </c:lineChart>
      <c:catAx>
        <c:axId val="6497395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649743352"/>
        <c:crosses val="autoZero"/>
        <c:auto val="1"/>
        <c:lblAlgn val="ctr"/>
        <c:lblOffset val="100"/>
        <c:noMultiLvlLbl val="0"/>
      </c:catAx>
      <c:valAx>
        <c:axId val="6497433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6497395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Pricing Index</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lineChart>
        <c:grouping val="standard"/>
        <c:varyColors val="0"/>
        <c:ser>
          <c:idx val="0"/>
          <c:order val="0"/>
          <c:tx>
            <c:strRef>
              <c:f>DASHBOARD!$A$99</c:f>
              <c:strCache>
                <c:ptCount val="1"/>
                <c:pt idx="0">
                  <c:v>Product A</c:v>
                </c:pt>
              </c:strCache>
            </c:strRef>
          </c:tx>
          <c:spPr>
            <a:ln w="28575" cap="rnd">
              <a:solidFill>
                <a:schemeClr val="accent1"/>
              </a:solidFill>
              <a:round/>
            </a:ln>
            <a:effectLst/>
          </c:spPr>
          <c:marker>
            <c:symbol val="none"/>
          </c:marker>
          <c:cat>
            <c:numRef>
              <c:f>DASHBOARD!$B$98:$F$98</c:f>
              <c:numCache>
                <c:formatCode>General</c:formatCode>
                <c:ptCount val="5"/>
                <c:pt idx="0">
                  <c:v>1</c:v>
                </c:pt>
                <c:pt idx="1">
                  <c:v>2</c:v>
                </c:pt>
                <c:pt idx="2">
                  <c:v>3</c:v>
                </c:pt>
                <c:pt idx="3">
                  <c:v>4</c:v>
                </c:pt>
                <c:pt idx="4">
                  <c:v>5</c:v>
                </c:pt>
              </c:numCache>
            </c:numRef>
          </c:cat>
          <c:val>
            <c:numRef>
              <c:f>DASHBOARD!$B$99:$F$99</c:f>
              <c:numCache>
                <c:formatCode>0</c:formatCode>
                <c:ptCount val="5"/>
                <c:pt idx="0">
                  <c:v>291.16117850953202</c:v>
                </c:pt>
                <c:pt idx="1">
                  <c:v>326.21359223300971</c:v>
                </c:pt>
                <c:pt idx="2">
                  <c:v>389.70076548364648</c:v>
                </c:pt>
                <c:pt idx="3">
                  <c:v>456.75756504717111</c:v>
                </c:pt>
                <c:pt idx="4">
                  <c:v>521.56635483069783</c:v>
                </c:pt>
              </c:numCache>
            </c:numRef>
          </c:val>
          <c:smooth val="0"/>
          <c:extLst>
            <c:ext xmlns:c16="http://schemas.microsoft.com/office/drawing/2014/chart" uri="{C3380CC4-5D6E-409C-BE32-E72D297353CC}">
              <c16:uniqueId val="{00000000-19F6-457F-B42D-CF8A1A39D619}"/>
            </c:ext>
          </c:extLst>
        </c:ser>
        <c:ser>
          <c:idx val="1"/>
          <c:order val="1"/>
          <c:tx>
            <c:strRef>
              <c:f>DASHBOARD!$A$100</c:f>
              <c:strCache>
                <c:ptCount val="1"/>
                <c:pt idx="0">
                  <c:v>Product B</c:v>
                </c:pt>
              </c:strCache>
            </c:strRef>
          </c:tx>
          <c:spPr>
            <a:ln w="28575" cap="rnd">
              <a:solidFill>
                <a:schemeClr val="accent2"/>
              </a:solidFill>
              <a:round/>
            </a:ln>
            <a:effectLst/>
          </c:spPr>
          <c:marker>
            <c:symbol val="none"/>
          </c:marker>
          <c:cat>
            <c:numRef>
              <c:f>DASHBOARD!$B$98:$F$98</c:f>
              <c:numCache>
                <c:formatCode>General</c:formatCode>
                <c:ptCount val="5"/>
                <c:pt idx="0">
                  <c:v>1</c:v>
                </c:pt>
                <c:pt idx="1">
                  <c:v>2</c:v>
                </c:pt>
                <c:pt idx="2">
                  <c:v>3</c:v>
                </c:pt>
                <c:pt idx="3">
                  <c:v>4</c:v>
                </c:pt>
                <c:pt idx="4">
                  <c:v>5</c:v>
                </c:pt>
              </c:numCache>
            </c:numRef>
          </c:cat>
          <c:val>
            <c:numRef>
              <c:f>DASHBOARD!$B$100:$F$100</c:f>
              <c:numCache>
                <c:formatCode>0</c:formatCode>
                <c:ptCount val="5"/>
                <c:pt idx="0">
                  <c:v>377.35849056603774</c:v>
                </c:pt>
                <c:pt idx="1">
                  <c:v>364.741641337386</c:v>
                </c:pt>
                <c:pt idx="2">
                  <c:v>424.55775234131113</c:v>
                </c:pt>
                <c:pt idx="3">
                  <c:v>447.54201533763779</c:v>
                </c:pt>
                <c:pt idx="4">
                  <c:v>476.75804529201429</c:v>
                </c:pt>
              </c:numCache>
            </c:numRef>
          </c:val>
          <c:smooth val="0"/>
          <c:extLst>
            <c:ext xmlns:c16="http://schemas.microsoft.com/office/drawing/2014/chart" uri="{C3380CC4-5D6E-409C-BE32-E72D297353CC}">
              <c16:uniqueId val="{00000001-19F6-457F-B42D-CF8A1A39D619}"/>
            </c:ext>
          </c:extLst>
        </c:ser>
        <c:ser>
          <c:idx val="2"/>
          <c:order val="2"/>
          <c:tx>
            <c:strRef>
              <c:f>DASHBOARD!$A$101</c:f>
              <c:strCache>
                <c:ptCount val="1"/>
                <c:pt idx="0">
                  <c:v>Product C</c:v>
                </c:pt>
              </c:strCache>
            </c:strRef>
          </c:tx>
          <c:spPr>
            <a:ln w="28575" cap="rnd">
              <a:solidFill>
                <a:schemeClr val="accent3"/>
              </a:solidFill>
              <a:round/>
            </a:ln>
            <a:effectLst/>
          </c:spPr>
          <c:marker>
            <c:symbol val="none"/>
          </c:marker>
          <c:cat>
            <c:numRef>
              <c:f>DASHBOARD!$B$98:$F$98</c:f>
              <c:numCache>
                <c:formatCode>General</c:formatCode>
                <c:ptCount val="5"/>
                <c:pt idx="0">
                  <c:v>1</c:v>
                </c:pt>
                <c:pt idx="1">
                  <c:v>2</c:v>
                </c:pt>
                <c:pt idx="2">
                  <c:v>3</c:v>
                </c:pt>
                <c:pt idx="3">
                  <c:v>4</c:v>
                </c:pt>
                <c:pt idx="4">
                  <c:v>5</c:v>
                </c:pt>
              </c:numCache>
            </c:numRef>
          </c:cat>
          <c:val>
            <c:numRef>
              <c:f>DASHBOARD!$B$101:$F$101</c:f>
              <c:numCache>
                <c:formatCode>0</c:formatCode>
                <c:ptCount val="5"/>
                <c:pt idx="0">
                  <c:v>372.67080745341616</c:v>
                </c:pt>
                <c:pt idx="1">
                  <c:v>263.6879692364036</c:v>
                </c:pt>
                <c:pt idx="2">
                  <c:v>275.56644213104715</c:v>
                </c:pt>
                <c:pt idx="3">
                  <c:v>556.250869141983</c:v>
                </c:pt>
                <c:pt idx="4">
                  <c:v>614.7855935242585</c:v>
                </c:pt>
              </c:numCache>
            </c:numRef>
          </c:val>
          <c:smooth val="0"/>
          <c:extLst>
            <c:ext xmlns:c16="http://schemas.microsoft.com/office/drawing/2014/chart" uri="{C3380CC4-5D6E-409C-BE32-E72D297353CC}">
              <c16:uniqueId val="{00000002-19F6-457F-B42D-CF8A1A39D619}"/>
            </c:ext>
          </c:extLst>
        </c:ser>
        <c:ser>
          <c:idx val="3"/>
          <c:order val="3"/>
          <c:tx>
            <c:strRef>
              <c:f>DASHBOARD!$A$102</c:f>
              <c:strCache>
                <c:ptCount val="1"/>
                <c:pt idx="0">
                  <c:v>Service X</c:v>
                </c:pt>
              </c:strCache>
            </c:strRef>
          </c:tx>
          <c:spPr>
            <a:ln w="28575" cap="rnd">
              <a:solidFill>
                <a:schemeClr val="accent4"/>
              </a:solidFill>
              <a:round/>
            </a:ln>
            <a:effectLst/>
          </c:spPr>
          <c:marker>
            <c:symbol val="none"/>
          </c:marker>
          <c:cat>
            <c:numRef>
              <c:f>DASHBOARD!$B$98:$F$98</c:f>
              <c:numCache>
                <c:formatCode>General</c:formatCode>
                <c:ptCount val="5"/>
                <c:pt idx="0">
                  <c:v>1</c:v>
                </c:pt>
                <c:pt idx="1">
                  <c:v>2</c:v>
                </c:pt>
                <c:pt idx="2">
                  <c:v>3</c:v>
                </c:pt>
                <c:pt idx="3">
                  <c:v>4</c:v>
                </c:pt>
                <c:pt idx="4">
                  <c:v>5</c:v>
                </c:pt>
              </c:numCache>
            </c:numRef>
          </c:cat>
          <c:val>
            <c:numRef>
              <c:f>DASHBOARD!$B$102:$F$102</c:f>
              <c:numCache>
                <c:formatCode>0</c:formatCode>
                <c:ptCount val="5"/>
                <c:pt idx="0">
                  <c:v>364.72148541114058</c:v>
                </c:pt>
                <c:pt idx="1">
                  <c:v>511.46931184128954</c:v>
                </c:pt>
                <c:pt idx="2">
                  <c:v>549.38956714761377</c:v>
                </c:pt>
                <c:pt idx="3">
                  <c:v>683.39960238568585</c:v>
                </c:pt>
                <c:pt idx="4">
                  <c:v>936.96763202725731</c:v>
                </c:pt>
              </c:numCache>
            </c:numRef>
          </c:val>
          <c:smooth val="0"/>
          <c:extLst>
            <c:ext xmlns:c16="http://schemas.microsoft.com/office/drawing/2014/chart" uri="{C3380CC4-5D6E-409C-BE32-E72D297353CC}">
              <c16:uniqueId val="{00000003-19F6-457F-B42D-CF8A1A39D619}"/>
            </c:ext>
          </c:extLst>
        </c:ser>
        <c:dLbls>
          <c:showLegendKey val="0"/>
          <c:showVal val="0"/>
          <c:showCatName val="0"/>
          <c:showSerName val="0"/>
          <c:showPercent val="0"/>
          <c:showBubbleSize val="0"/>
        </c:dLbls>
        <c:smooth val="0"/>
        <c:axId val="578923320"/>
        <c:axId val="578919480"/>
      </c:lineChart>
      <c:catAx>
        <c:axId val="5789233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Year</a:t>
                </a:r>
              </a:p>
            </c:rich>
          </c:tx>
          <c:layout>
            <c:manualLayout>
              <c:xMode val="edge"/>
              <c:yMode val="edge"/>
              <c:x val="0.56060040033768532"/>
              <c:y val="0.4759025955088947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578919480"/>
        <c:crosses val="autoZero"/>
        <c:auto val="1"/>
        <c:lblAlgn val="ctr"/>
        <c:lblOffset val="100"/>
        <c:noMultiLvlLbl val="0"/>
      </c:catAx>
      <c:valAx>
        <c:axId val="5789194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5789233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ID4096"/>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Revenue</a:t>
            </a:r>
            <a:r>
              <a:rPr lang="de-AT" baseline="0"/>
              <a:t> Index</a:t>
            </a:r>
            <a:endParaRPr lang="de-AT"/>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barChart>
        <c:barDir val="col"/>
        <c:grouping val="clustered"/>
        <c:varyColors val="0"/>
        <c:ser>
          <c:idx val="0"/>
          <c:order val="0"/>
          <c:tx>
            <c:strRef>
              <c:f>DASHBOARD!$H$99</c:f>
              <c:strCache>
                <c:ptCount val="1"/>
                <c:pt idx="0">
                  <c:v>Year-on-Year</c:v>
                </c:pt>
              </c:strCache>
            </c:strRef>
          </c:tx>
          <c:spPr>
            <a:solidFill>
              <a:schemeClr val="accent6"/>
            </a:solidFill>
            <a:ln>
              <a:noFill/>
            </a:ln>
            <a:effectLst/>
          </c:spPr>
          <c:invertIfNegative val="0"/>
          <c:dLbls>
            <c:dLbl>
              <c:idx val="1"/>
              <c:layout>
                <c:manualLayout>
                  <c:x val="-2.7777777777778286E-3"/>
                  <c:y val="2.314814814814806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887-4F19-8217-60DABA24821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DASHBOARD!$I$98:$M$98</c:f>
              <c:numCache>
                <c:formatCode>General</c:formatCode>
                <c:ptCount val="5"/>
                <c:pt idx="1">
                  <c:v>2</c:v>
                </c:pt>
                <c:pt idx="2">
                  <c:v>3</c:v>
                </c:pt>
                <c:pt idx="3">
                  <c:v>4</c:v>
                </c:pt>
                <c:pt idx="4">
                  <c:v>5</c:v>
                </c:pt>
              </c:numCache>
            </c:numRef>
          </c:cat>
          <c:val>
            <c:numRef>
              <c:f>DASHBOARD!$I$99:$M$99</c:f>
              <c:numCache>
                <c:formatCode>0</c:formatCode>
                <c:ptCount val="5"/>
                <c:pt idx="1">
                  <c:v>154.01337792642141</c:v>
                </c:pt>
                <c:pt idx="2">
                  <c:v>251.24864277958739</c:v>
                </c:pt>
                <c:pt idx="3">
                  <c:v>219.31719965427828</c:v>
                </c:pt>
                <c:pt idx="4">
                  <c:v>187.58620689655172</c:v>
                </c:pt>
              </c:numCache>
            </c:numRef>
          </c:val>
          <c:extLst>
            <c:ext xmlns:c16="http://schemas.microsoft.com/office/drawing/2014/chart" uri="{C3380CC4-5D6E-409C-BE32-E72D297353CC}">
              <c16:uniqueId val="{00000000-8887-4F19-8217-60DABA248215}"/>
            </c:ext>
          </c:extLst>
        </c:ser>
        <c:ser>
          <c:idx val="1"/>
          <c:order val="1"/>
          <c:tx>
            <c:strRef>
              <c:f>DASHBOARD!$H$100</c:f>
              <c:strCache>
                <c:ptCount val="1"/>
                <c:pt idx="0">
                  <c:v>Year-on-1st Year</c:v>
                </c:pt>
              </c:strCache>
            </c:strRef>
          </c:tx>
          <c:spPr>
            <a:solidFill>
              <a:schemeClr val="accent5"/>
            </a:solidFill>
            <a:ln>
              <a:noFill/>
            </a:ln>
            <a:effectLst/>
          </c:spPr>
          <c:invertIfNegative val="0"/>
          <c:dLbls>
            <c:dLbl>
              <c:idx val="1"/>
              <c:layout>
                <c:manualLayout>
                  <c:x val="0"/>
                  <c:y val="2.777777777777777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87-4F19-8217-60DABA24821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DASHBOARD!$I$98:$M$98</c:f>
              <c:numCache>
                <c:formatCode>General</c:formatCode>
                <c:ptCount val="5"/>
                <c:pt idx="1">
                  <c:v>2</c:v>
                </c:pt>
                <c:pt idx="2">
                  <c:v>3</c:v>
                </c:pt>
                <c:pt idx="3">
                  <c:v>4</c:v>
                </c:pt>
                <c:pt idx="4">
                  <c:v>5</c:v>
                </c:pt>
              </c:numCache>
            </c:numRef>
          </c:cat>
          <c:val>
            <c:numRef>
              <c:f>DASHBOARD!$I$100:$M$100</c:f>
              <c:numCache>
                <c:formatCode>0</c:formatCode>
                <c:ptCount val="5"/>
                <c:pt idx="1">
                  <c:v>154.01337792642141</c:v>
                </c:pt>
                <c:pt idx="2">
                  <c:v>386.95652173913044</c:v>
                </c:pt>
                <c:pt idx="3">
                  <c:v>848.66220735785942</c:v>
                </c:pt>
                <c:pt idx="4">
                  <c:v>1591.9732441471572</c:v>
                </c:pt>
              </c:numCache>
            </c:numRef>
          </c:val>
          <c:extLst>
            <c:ext xmlns:c16="http://schemas.microsoft.com/office/drawing/2014/chart" uri="{C3380CC4-5D6E-409C-BE32-E72D297353CC}">
              <c16:uniqueId val="{00000001-8887-4F19-8217-60DABA248215}"/>
            </c:ext>
          </c:extLst>
        </c:ser>
        <c:dLbls>
          <c:dLblPos val="outEnd"/>
          <c:showLegendKey val="0"/>
          <c:showVal val="1"/>
          <c:showCatName val="0"/>
          <c:showSerName val="0"/>
          <c:showPercent val="0"/>
          <c:showBubbleSize val="0"/>
        </c:dLbls>
        <c:gapWidth val="219"/>
        <c:overlap val="-27"/>
        <c:axId val="578926200"/>
        <c:axId val="578931960"/>
      </c:barChart>
      <c:catAx>
        <c:axId val="5789262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578931960"/>
        <c:crosses val="autoZero"/>
        <c:auto val="1"/>
        <c:lblAlgn val="ctr"/>
        <c:lblOffset val="100"/>
        <c:noMultiLvlLbl val="0"/>
      </c:catAx>
      <c:valAx>
        <c:axId val="578931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5789262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barChart>
        <c:barDir val="col"/>
        <c:grouping val="clustered"/>
        <c:varyColors val="0"/>
        <c:ser>
          <c:idx val="0"/>
          <c:order val="0"/>
          <c:tx>
            <c:strRef>
              <c:f>DASHBOARD!$A$115</c:f>
              <c:strCache>
                <c:ptCount val="1"/>
                <c:pt idx="0">
                  <c:v>Cash Conversion Cycle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DASHBOARD!$B$114:$F$114</c:f>
              <c:numCache>
                <c:formatCode>General</c:formatCode>
                <c:ptCount val="5"/>
                <c:pt idx="0">
                  <c:v>1</c:v>
                </c:pt>
                <c:pt idx="1">
                  <c:v>2</c:v>
                </c:pt>
                <c:pt idx="2">
                  <c:v>3</c:v>
                </c:pt>
                <c:pt idx="3">
                  <c:v>4</c:v>
                </c:pt>
                <c:pt idx="4">
                  <c:v>5</c:v>
                </c:pt>
              </c:numCache>
            </c:numRef>
          </c:cat>
          <c:val>
            <c:numRef>
              <c:f>DASHBOARD!$B$115:$F$115</c:f>
              <c:numCache>
                <c:formatCode>General</c:formatCode>
                <c:ptCount val="5"/>
                <c:pt idx="0">
                  <c:v>15</c:v>
                </c:pt>
                <c:pt idx="1">
                  <c:v>15</c:v>
                </c:pt>
                <c:pt idx="2">
                  <c:v>24</c:v>
                </c:pt>
                <c:pt idx="3">
                  <c:v>20</c:v>
                </c:pt>
                <c:pt idx="4">
                  <c:v>15</c:v>
                </c:pt>
              </c:numCache>
            </c:numRef>
          </c:val>
          <c:extLst>
            <c:ext xmlns:c16="http://schemas.microsoft.com/office/drawing/2014/chart" uri="{C3380CC4-5D6E-409C-BE32-E72D297353CC}">
              <c16:uniqueId val="{00000000-AA8B-4ED1-B86F-B1B9AD16A92C}"/>
            </c:ext>
          </c:extLst>
        </c:ser>
        <c:dLbls>
          <c:dLblPos val="outEnd"/>
          <c:showLegendKey val="0"/>
          <c:showVal val="1"/>
          <c:showCatName val="0"/>
          <c:showSerName val="0"/>
          <c:showPercent val="0"/>
          <c:showBubbleSize val="0"/>
        </c:dLbls>
        <c:gapWidth val="219"/>
        <c:overlap val="-27"/>
        <c:axId val="649718072"/>
        <c:axId val="649718712"/>
      </c:barChart>
      <c:catAx>
        <c:axId val="6497180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649718712"/>
        <c:crosses val="autoZero"/>
        <c:auto val="1"/>
        <c:lblAlgn val="ctr"/>
        <c:lblOffset val="100"/>
        <c:noMultiLvlLbl val="0"/>
      </c:catAx>
      <c:valAx>
        <c:axId val="64971871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Days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649718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Turnover</a:t>
            </a:r>
            <a:r>
              <a:rPr lang="de-AT" baseline="0"/>
              <a:t> Rates</a:t>
            </a:r>
            <a:endParaRPr lang="de-AT"/>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barChart>
        <c:barDir val="col"/>
        <c:grouping val="clustered"/>
        <c:varyColors val="0"/>
        <c:ser>
          <c:idx val="1"/>
          <c:order val="1"/>
          <c:tx>
            <c:strRef>
              <c:f>DASHBOARD!$H$116</c:f>
              <c:strCache>
                <c:ptCount val="1"/>
                <c:pt idx="0">
                  <c:v>Inventory</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DASHBOARD!$I$114:$M$114</c:f>
              <c:numCache>
                <c:formatCode>General</c:formatCode>
                <c:ptCount val="5"/>
                <c:pt idx="0">
                  <c:v>1</c:v>
                </c:pt>
                <c:pt idx="1">
                  <c:v>2</c:v>
                </c:pt>
                <c:pt idx="2">
                  <c:v>3</c:v>
                </c:pt>
                <c:pt idx="3">
                  <c:v>4</c:v>
                </c:pt>
                <c:pt idx="4">
                  <c:v>5</c:v>
                </c:pt>
              </c:numCache>
            </c:numRef>
          </c:cat>
          <c:val>
            <c:numRef>
              <c:f>DASHBOARD!$I$116:$M$116</c:f>
              <c:numCache>
                <c:formatCode>_-* #\ ##0.0_-;\-* #\ ##0.0_-;_-* "-"??_-;_-@_-</c:formatCode>
                <c:ptCount val="5"/>
                <c:pt idx="0">
                  <c:v>14.677221433555497</c:v>
                </c:pt>
                <c:pt idx="1">
                  <c:v>14.763433552832002</c:v>
                </c:pt>
                <c:pt idx="2">
                  <c:v>13.705543775869538</c:v>
                </c:pt>
                <c:pt idx="3">
                  <c:v>17.011021724492327</c:v>
                </c:pt>
                <c:pt idx="4">
                  <c:v>22.872458335852325</c:v>
                </c:pt>
              </c:numCache>
            </c:numRef>
          </c:val>
          <c:extLst>
            <c:ext xmlns:c16="http://schemas.microsoft.com/office/drawing/2014/chart" uri="{C3380CC4-5D6E-409C-BE32-E72D297353CC}">
              <c16:uniqueId val="{00000001-15FF-4019-B056-493D847710EC}"/>
            </c:ext>
          </c:extLst>
        </c:ser>
        <c:dLbls>
          <c:dLblPos val="inBase"/>
          <c:showLegendKey val="0"/>
          <c:showVal val="1"/>
          <c:showCatName val="0"/>
          <c:showSerName val="0"/>
          <c:showPercent val="0"/>
          <c:showBubbleSize val="0"/>
        </c:dLbls>
        <c:gapWidth val="219"/>
        <c:axId val="627062224"/>
        <c:axId val="627062544"/>
      </c:barChart>
      <c:lineChart>
        <c:grouping val="standard"/>
        <c:varyColors val="0"/>
        <c:ser>
          <c:idx val="0"/>
          <c:order val="0"/>
          <c:tx>
            <c:strRef>
              <c:f>DASHBOARD!$H$115</c:f>
              <c:strCache>
                <c:ptCount val="1"/>
                <c:pt idx="0">
                  <c:v>Accounts Receivables</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DASHBOARD!$I$114:$M$114</c:f>
              <c:numCache>
                <c:formatCode>General</c:formatCode>
                <c:ptCount val="5"/>
                <c:pt idx="0">
                  <c:v>1</c:v>
                </c:pt>
                <c:pt idx="1">
                  <c:v>2</c:v>
                </c:pt>
                <c:pt idx="2">
                  <c:v>3</c:v>
                </c:pt>
                <c:pt idx="3">
                  <c:v>4</c:v>
                </c:pt>
                <c:pt idx="4">
                  <c:v>5</c:v>
                </c:pt>
              </c:numCache>
            </c:numRef>
          </c:cat>
          <c:val>
            <c:numRef>
              <c:f>DASHBOARD!$I$115:$M$115</c:f>
              <c:numCache>
                <c:formatCode>_-* #\ ##0.0_-;\-* #\ ##0.0_-;_-* "-"??_-;_-@_-</c:formatCode>
                <c:ptCount val="5"/>
                <c:pt idx="0">
                  <c:v>14.388489208633093</c:v>
                </c:pt>
                <c:pt idx="1">
                  <c:v>14.388489208633093</c:v>
                </c:pt>
                <c:pt idx="2">
                  <c:v>11.990407673860911</c:v>
                </c:pt>
                <c:pt idx="3">
                  <c:v>11.990407673860911</c:v>
                </c:pt>
                <c:pt idx="4">
                  <c:v>11.990407673860911</c:v>
                </c:pt>
              </c:numCache>
            </c:numRef>
          </c:val>
          <c:smooth val="0"/>
          <c:extLst>
            <c:ext xmlns:c16="http://schemas.microsoft.com/office/drawing/2014/chart" uri="{C3380CC4-5D6E-409C-BE32-E72D297353CC}">
              <c16:uniqueId val="{00000000-15FF-4019-B056-493D847710EC}"/>
            </c:ext>
          </c:extLst>
        </c:ser>
        <c:dLbls>
          <c:showLegendKey val="0"/>
          <c:showVal val="1"/>
          <c:showCatName val="0"/>
          <c:showSerName val="0"/>
          <c:showPercent val="0"/>
          <c:showBubbleSize val="0"/>
        </c:dLbls>
        <c:marker val="1"/>
        <c:smooth val="0"/>
        <c:axId val="627062224"/>
        <c:axId val="627062544"/>
      </c:lineChart>
      <c:catAx>
        <c:axId val="627062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627062544"/>
        <c:crosses val="autoZero"/>
        <c:auto val="1"/>
        <c:lblAlgn val="ctr"/>
        <c:lblOffset val="100"/>
        <c:noMultiLvlLbl val="0"/>
      </c:catAx>
      <c:valAx>
        <c:axId val="627062544"/>
        <c:scaling>
          <c:orientation val="minMax"/>
        </c:scaling>
        <c:delete val="0"/>
        <c:axPos val="l"/>
        <c:majorGridlines>
          <c:spPr>
            <a:ln w="9525" cap="flat" cmpd="sng" algn="ctr">
              <a:solidFill>
                <a:schemeClr val="tx1">
                  <a:lumMod val="15000"/>
                  <a:lumOff val="85000"/>
                </a:schemeClr>
              </a:solidFill>
              <a:round/>
            </a:ln>
            <a:effectLst/>
          </c:spPr>
        </c:majorGridlines>
        <c:numFmt formatCode="_-* #\ ##0.0_-;\-* #\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6270622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Conversion</a:t>
            </a:r>
            <a:r>
              <a:rPr lang="de-AT" baseline="0"/>
              <a:t> Periods</a:t>
            </a:r>
            <a:endParaRPr lang="de-AT"/>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barChart>
        <c:barDir val="col"/>
        <c:grouping val="clustered"/>
        <c:varyColors val="0"/>
        <c:ser>
          <c:idx val="0"/>
          <c:order val="0"/>
          <c:tx>
            <c:strRef>
              <c:f>DASHBOARD!$A$131</c:f>
              <c:strCache>
                <c:ptCount val="1"/>
                <c:pt idx="0">
                  <c:v>Accounts Receivables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DASHBOARD!$B$130:$F$130</c:f>
              <c:numCache>
                <c:formatCode>General</c:formatCode>
                <c:ptCount val="5"/>
                <c:pt idx="0">
                  <c:v>1</c:v>
                </c:pt>
                <c:pt idx="1">
                  <c:v>2</c:v>
                </c:pt>
                <c:pt idx="2">
                  <c:v>3</c:v>
                </c:pt>
                <c:pt idx="3">
                  <c:v>4</c:v>
                </c:pt>
                <c:pt idx="4">
                  <c:v>5</c:v>
                </c:pt>
              </c:numCache>
            </c:numRef>
          </c:cat>
          <c:val>
            <c:numRef>
              <c:f>DASHBOARD!$B$131:$F$131</c:f>
              <c:numCache>
                <c:formatCode>0</c:formatCode>
                <c:ptCount val="5"/>
                <c:pt idx="0">
                  <c:v>25.367500000000003</c:v>
                </c:pt>
                <c:pt idx="1">
                  <c:v>25.367500000000003</c:v>
                </c:pt>
                <c:pt idx="2">
                  <c:v>30.440999999999999</c:v>
                </c:pt>
                <c:pt idx="3">
                  <c:v>30.440999999999999</c:v>
                </c:pt>
                <c:pt idx="4">
                  <c:v>30.440999999999999</c:v>
                </c:pt>
              </c:numCache>
            </c:numRef>
          </c:val>
          <c:extLst>
            <c:ext xmlns:c16="http://schemas.microsoft.com/office/drawing/2014/chart" uri="{C3380CC4-5D6E-409C-BE32-E72D297353CC}">
              <c16:uniqueId val="{00000000-B4A3-4378-99BE-2D2774FFE2E7}"/>
            </c:ext>
          </c:extLst>
        </c:ser>
        <c:ser>
          <c:idx val="1"/>
          <c:order val="1"/>
          <c:tx>
            <c:strRef>
              <c:f>DASHBOARD!$A$132</c:f>
              <c:strCache>
                <c:ptCount val="1"/>
                <c:pt idx="0">
                  <c:v>Inventory</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DASHBOARD!$B$130:$F$130</c:f>
              <c:numCache>
                <c:formatCode>General</c:formatCode>
                <c:ptCount val="5"/>
                <c:pt idx="0">
                  <c:v>1</c:v>
                </c:pt>
                <c:pt idx="1">
                  <c:v>2</c:v>
                </c:pt>
                <c:pt idx="2">
                  <c:v>3</c:v>
                </c:pt>
                <c:pt idx="3">
                  <c:v>4</c:v>
                </c:pt>
                <c:pt idx="4">
                  <c:v>5</c:v>
                </c:pt>
              </c:numCache>
            </c:numRef>
          </c:cat>
          <c:val>
            <c:numRef>
              <c:f>DASHBOARD!$B$132:$F$132</c:f>
              <c:numCache>
                <c:formatCode>_-* #\ ##0_-;\-* #\ ##0_-;_-* "-"??_-;_-@_-</c:formatCode>
                <c:ptCount val="5"/>
                <c:pt idx="0">
                  <c:v>24.868467213114755</c:v>
                </c:pt>
                <c:pt idx="1">
                  <c:v>24.723246031746033</c:v>
                </c:pt>
                <c:pt idx="2">
                  <c:v>26.631559168241967</c:v>
                </c:pt>
                <c:pt idx="3">
                  <c:v>21.456677083333332</c:v>
                </c:pt>
                <c:pt idx="4">
                  <c:v>15.958057268722468</c:v>
                </c:pt>
              </c:numCache>
            </c:numRef>
          </c:val>
          <c:extLst>
            <c:ext xmlns:c16="http://schemas.microsoft.com/office/drawing/2014/chart" uri="{C3380CC4-5D6E-409C-BE32-E72D297353CC}">
              <c16:uniqueId val="{00000001-B4A3-4378-99BE-2D2774FFE2E7}"/>
            </c:ext>
          </c:extLst>
        </c:ser>
        <c:dLbls>
          <c:dLblPos val="outEnd"/>
          <c:showLegendKey val="0"/>
          <c:showVal val="1"/>
          <c:showCatName val="0"/>
          <c:showSerName val="0"/>
          <c:showPercent val="0"/>
          <c:showBubbleSize val="0"/>
        </c:dLbls>
        <c:gapWidth val="219"/>
        <c:overlap val="-27"/>
        <c:axId val="697206264"/>
        <c:axId val="697205944"/>
      </c:barChart>
      <c:catAx>
        <c:axId val="6972062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697205944"/>
        <c:crosses val="autoZero"/>
        <c:auto val="1"/>
        <c:lblAlgn val="ctr"/>
        <c:lblOffset val="100"/>
        <c:noMultiLvlLbl val="0"/>
      </c:catAx>
      <c:valAx>
        <c:axId val="69720594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Days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697206264"/>
        <c:crosses val="autoZero"/>
        <c:crossBetween val="between"/>
      </c:valAx>
      <c:spPr>
        <a:noFill/>
        <a:ln>
          <a:noFill/>
        </a:ln>
        <a:effectLst/>
      </c:spPr>
    </c:plotArea>
    <c:legend>
      <c:legendPos val="t"/>
      <c:layout>
        <c:manualLayout>
          <c:xMode val="edge"/>
          <c:yMode val="edge"/>
          <c:x val="0.30111194201283498"/>
          <c:y val="0.1161574074074074"/>
          <c:w val="0.39777611597433005"/>
          <c:h val="6.8866287547389909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Unlevered Free Cash-flow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6"/>
                </a:solidFill>
                <a:prstDash val="sysDot"/>
              </a:ln>
              <a:effectLst/>
            </c:spPr>
            <c:trendlineType val="exp"/>
            <c:dispRSqr val="0"/>
            <c:dispEq val="0"/>
          </c:trendline>
          <c:cat>
            <c:numRef>
              <c:f>DASHBOARD!$I$130:$M$130</c:f>
              <c:numCache>
                <c:formatCode>General</c:formatCode>
                <c:ptCount val="5"/>
                <c:pt idx="0">
                  <c:v>1</c:v>
                </c:pt>
                <c:pt idx="1">
                  <c:v>2</c:v>
                </c:pt>
                <c:pt idx="2">
                  <c:v>3</c:v>
                </c:pt>
                <c:pt idx="3">
                  <c:v>4</c:v>
                </c:pt>
                <c:pt idx="4">
                  <c:v>5</c:v>
                </c:pt>
              </c:numCache>
            </c:numRef>
          </c:cat>
          <c:val>
            <c:numRef>
              <c:f>DASHBOARD!$I$131:$M$131</c:f>
              <c:numCache>
                <c:formatCode>_(* #,##0.00_);_(* \(#,##0.00\);_(* "-"??_);_(@_)</c:formatCode>
                <c:ptCount val="5"/>
                <c:pt idx="0">
                  <c:v>-97.11042857142867</c:v>
                </c:pt>
                <c:pt idx="1">
                  <c:v>-200.02435714285727</c:v>
                </c:pt>
                <c:pt idx="2">
                  <c:v>1742.4804428571431</c:v>
                </c:pt>
                <c:pt idx="3">
                  <c:v>4774.2679142857141</c:v>
                </c:pt>
                <c:pt idx="4">
                  <c:v>9596.2592857142845</c:v>
                </c:pt>
              </c:numCache>
            </c:numRef>
          </c:val>
          <c:extLst>
            <c:ext xmlns:c16="http://schemas.microsoft.com/office/drawing/2014/chart" uri="{C3380CC4-5D6E-409C-BE32-E72D297353CC}">
              <c16:uniqueId val="{00000000-F0CA-41FF-BFA8-76B296A37E7E}"/>
            </c:ext>
          </c:extLst>
        </c:ser>
        <c:dLbls>
          <c:dLblPos val="outEnd"/>
          <c:showLegendKey val="0"/>
          <c:showVal val="1"/>
          <c:showCatName val="0"/>
          <c:showSerName val="0"/>
          <c:showPercent val="0"/>
          <c:showBubbleSize val="0"/>
        </c:dLbls>
        <c:gapWidth val="219"/>
        <c:overlap val="-27"/>
        <c:axId val="528256080"/>
        <c:axId val="528258640"/>
      </c:barChart>
      <c:catAx>
        <c:axId val="5282560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528258640"/>
        <c:crosses val="autoZero"/>
        <c:auto val="1"/>
        <c:lblAlgn val="ctr"/>
        <c:lblOffset val="100"/>
        <c:noMultiLvlLbl val="0"/>
      </c:catAx>
      <c:valAx>
        <c:axId val="5282586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in 000s currency units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528256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Core Profitability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barChart>
        <c:barDir val="col"/>
        <c:grouping val="clustered"/>
        <c:varyColors val="0"/>
        <c:ser>
          <c:idx val="0"/>
          <c:order val="0"/>
          <c:tx>
            <c:strRef>
              <c:f>DASHBOARD!$H$3</c:f>
              <c:strCache>
                <c:ptCount val="1"/>
                <c:pt idx="0">
                  <c:v>EBITDA in 000s</c:v>
                </c:pt>
              </c:strCache>
            </c:strRef>
          </c:tx>
          <c:spPr>
            <a:solidFill>
              <a:schemeClr val="accent6"/>
            </a:solidFill>
            <a:ln>
              <a:noFill/>
            </a:ln>
            <a:effectLst/>
          </c:spPr>
          <c:invertIfNegative val="0"/>
          <c:cat>
            <c:numRef>
              <c:f>DASHBOARD!$I$2:$M$2</c:f>
              <c:numCache>
                <c:formatCode>General</c:formatCode>
                <c:ptCount val="5"/>
                <c:pt idx="0">
                  <c:v>1</c:v>
                </c:pt>
                <c:pt idx="1">
                  <c:v>2</c:v>
                </c:pt>
                <c:pt idx="2">
                  <c:v>3</c:v>
                </c:pt>
                <c:pt idx="3">
                  <c:v>4</c:v>
                </c:pt>
                <c:pt idx="4">
                  <c:v>5</c:v>
                </c:pt>
              </c:numCache>
            </c:numRef>
          </c:cat>
          <c:val>
            <c:numRef>
              <c:f>DASHBOARD!$I$3:$M$3</c:f>
              <c:numCache>
                <c:formatCode>_-* #\ ##0.0_-;\-* #\ ##0.0_-;_-* "-"??_-;_-@_-</c:formatCode>
                <c:ptCount val="5"/>
                <c:pt idx="0">
                  <c:v>318.7999999999999</c:v>
                </c:pt>
                <c:pt idx="1">
                  <c:v>619.3399999999998</c:v>
                </c:pt>
                <c:pt idx="2">
                  <c:v>3731.3399999999997</c:v>
                </c:pt>
                <c:pt idx="3">
                  <c:v>10894.54</c:v>
                </c:pt>
                <c:pt idx="4">
                  <c:v>22572.939999999995</c:v>
                </c:pt>
              </c:numCache>
            </c:numRef>
          </c:val>
          <c:extLst>
            <c:ext xmlns:c16="http://schemas.microsoft.com/office/drawing/2014/chart" uri="{C3380CC4-5D6E-409C-BE32-E72D297353CC}">
              <c16:uniqueId val="{00000000-8857-49F5-8D4F-9E0C78C00442}"/>
            </c:ext>
          </c:extLst>
        </c:ser>
        <c:ser>
          <c:idx val="1"/>
          <c:order val="1"/>
          <c:tx>
            <c:strRef>
              <c:f>DASHBOARD!$H$4</c:f>
              <c:strCache>
                <c:ptCount val="1"/>
                <c:pt idx="0">
                  <c:v>EBIT in 000s</c:v>
                </c:pt>
              </c:strCache>
            </c:strRef>
          </c:tx>
          <c:spPr>
            <a:solidFill>
              <a:schemeClr val="accent5"/>
            </a:solidFill>
            <a:ln>
              <a:noFill/>
            </a:ln>
            <a:effectLst/>
          </c:spPr>
          <c:invertIfNegative val="0"/>
          <c:cat>
            <c:numRef>
              <c:f>DASHBOARD!$I$2:$M$2</c:f>
              <c:numCache>
                <c:formatCode>General</c:formatCode>
                <c:ptCount val="5"/>
                <c:pt idx="0">
                  <c:v>1</c:v>
                </c:pt>
                <c:pt idx="1">
                  <c:v>2</c:v>
                </c:pt>
                <c:pt idx="2">
                  <c:v>3</c:v>
                </c:pt>
                <c:pt idx="3">
                  <c:v>4</c:v>
                </c:pt>
                <c:pt idx="4">
                  <c:v>5</c:v>
                </c:pt>
              </c:numCache>
            </c:numRef>
          </c:cat>
          <c:val>
            <c:numRef>
              <c:f>DASHBOARD!$I$4:$M$4</c:f>
              <c:numCache>
                <c:formatCode>_-* #\ ##0.0_-;\-* #\ ##0.0_-;_-* "-"??_-;_-@_-</c:formatCode>
                <c:ptCount val="5"/>
                <c:pt idx="0">
                  <c:v>276.65714285714273</c:v>
                </c:pt>
                <c:pt idx="1">
                  <c:v>495.05428571428547</c:v>
                </c:pt>
                <c:pt idx="2">
                  <c:v>3507.0542857142855</c:v>
                </c:pt>
                <c:pt idx="3">
                  <c:v>10550.611428571428</c:v>
                </c:pt>
                <c:pt idx="4">
                  <c:v>22089.368571428568</c:v>
                </c:pt>
              </c:numCache>
            </c:numRef>
          </c:val>
          <c:extLst>
            <c:ext xmlns:c16="http://schemas.microsoft.com/office/drawing/2014/chart" uri="{C3380CC4-5D6E-409C-BE32-E72D297353CC}">
              <c16:uniqueId val="{00000001-8857-49F5-8D4F-9E0C78C00442}"/>
            </c:ext>
          </c:extLst>
        </c:ser>
        <c:dLbls>
          <c:showLegendKey val="0"/>
          <c:showVal val="0"/>
          <c:showCatName val="0"/>
          <c:showSerName val="0"/>
          <c:showPercent val="0"/>
          <c:showBubbleSize val="0"/>
        </c:dLbls>
        <c:gapWidth val="219"/>
        <c:overlap val="-27"/>
        <c:axId val="488530320"/>
        <c:axId val="488534480"/>
      </c:barChart>
      <c:catAx>
        <c:axId val="488530320"/>
        <c:scaling>
          <c:orientation val="minMax"/>
        </c:scaling>
        <c:delete val="0"/>
        <c:axPos val="b"/>
        <c:title>
          <c:tx>
            <c:rich>
              <a:bodyPr rot="0" spcFirstLastPara="1" vertOverflow="ellipsis" vert="horz" wrap="square" anchor="ctr" anchorCtr="0"/>
              <a:lstStyle/>
              <a:p>
                <a:pPr>
                  <a:defRPr sz="1000" b="0" i="0" u="none" strike="noStrike" kern="1200" baseline="0">
                    <a:solidFill>
                      <a:schemeClr val="tx1">
                        <a:lumMod val="65000"/>
                        <a:lumOff val="35000"/>
                      </a:schemeClr>
                    </a:solidFill>
                    <a:latin typeface="+mn-lt"/>
                    <a:ea typeface="+mn-ea"/>
                    <a:cs typeface="+mn-cs"/>
                  </a:defRPr>
                </a:pPr>
                <a:r>
                  <a:rPr lang="de-AT"/>
                  <a:t>Year</a:t>
                </a:r>
              </a:p>
            </c:rich>
          </c:tx>
          <c:overlay val="0"/>
          <c:spPr>
            <a:noFill/>
            <a:ln>
              <a:noFill/>
            </a:ln>
            <a:effectLst/>
          </c:spPr>
          <c:txPr>
            <a:bodyPr rot="0" spcFirstLastPara="1" vertOverflow="ellipsis" vert="horz" wrap="square" anchor="ctr" anchorCtr="0"/>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488534480"/>
        <c:crosses val="autoZero"/>
        <c:auto val="1"/>
        <c:lblAlgn val="ctr"/>
        <c:lblOffset val="100"/>
        <c:noMultiLvlLbl val="0"/>
      </c:catAx>
      <c:valAx>
        <c:axId val="48853448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 in 000s</a:t>
                </a:r>
                <a:r>
                  <a:rPr lang="de-AT" baseline="0"/>
                  <a:t> c</a:t>
                </a:r>
                <a:r>
                  <a:rPr lang="de-AT"/>
                  <a:t>urrency units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_-* #\ ##0.0_-;\-* #\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4885303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ID4096"/>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manualLayout>
          <c:layoutTarget val="inner"/>
          <c:xMode val="edge"/>
          <c:yMode val="edge"/>
          <c:x val="6.4703800913774673E-2"/>
          <c:y val="0.16708333333333336"/>
          <c:w val="0.90813570525906484"/>
          <c:h val="0.62271617089530473"/>
        </c:manualLayout>
      </c:layout>
      <c:barChart>
        <c:barDir val="col"/>
        <c:grouping val="clustered"/>
        <c:varyColors val="0"/>
        <c:ser>
          <c:idx val="0"/>
          <c:order val="0"/>
          <c:tx>
            <c:strRef>
              <c:f>DASHBOARD!$A$18</c:f>
              <c:strCache>
                <c:ptCount val="1"/>
                <c:pt idx="0">
                  <c:v>Gross Profit</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DASHBOARD!$B$17:$F$17</c:f>
              <c:numCache>
                <c:formatCode>General</c:formatCode>
                <c:ptCount val="5"/>
                <c:pt idx="0">
                  <c:v>1</c:v>
                </c:pt>
                <c:pt idx="1">
                  <c:v>2</c:v>
                </c:pt>
                <c:pt idx="2">
                  <c:v>3</c:v>
                </c:pt>
                <c:pt idx="3">
                  <c:v>4</c:v>
                </c:pt>
                <c:pt idx="4">
                  <c:v>5</c:v>
                </c:pt>
              </c:numCache>
            </c:numRef>
          </c:cat>
          <c:val>
            <c:numRef>
              <c:f>DASHBOARD!$B$18:$F$18</c:f>
              <c:numCache>
                <c:formatCode>_-* #\ ##0_-;\-* #\ ##0_-;_-* "-"??_-;_-@_-</c:formatCode>
                <c:ptCount val="5"/>
                <c:pt idx="0">
                  <c:v>1803.0571428571427</c:v>
                </c:pt>
                <c:pt idx="1">
                  <c:v>2707.8142857142852</c:v>
                </c:pt>
                <c:pt idx="2">
                  <c:v>7859.3142857142857</c:v>
                </c:pt>
                <c:pt idx="3">
                  <c:v>19106.87142857143</c:v>
                </c:pt>
                <c:pt idx="4">
                  <c:v>37395.62857142857</c:v>
                </c:pt>
              </c:numCache>
            </c:numRef>
          </c:val>
          <c:extLst>
            <c:ext xmlns:c16="http://schemas.microsoft.com/office/drawing/2014/chart" uri="{C3380CC4-5D6E-409C-BE32-E72D297353CC}">
              <c16:uniqueId val="{00000000-51BC-4E86-8DD4-35A72D72E3FC}"/>
            </c:ext>
          </c:extLst>
        </c:ser>
        <c:dLbls>
          <c:dLblPos val="outEnd"/>
          <c:showLegendKey val="0"/>
          <c:showVal val="1"/>
          <c:showCatName val="0"/>
          <c:showSerName val="0"/>
          <c:showPercent val="0"/>
          <c:showBubbleSize val="0"/>
        </c:dLbls>
        <c:gapWidth val="219"/>
        <c:overlap val="-27"/>
        <c:axId val="564124280"/>
        <c:axId val="564124600"/>
      </c:barChart>
      <c:catAx>
        <c:axId val="5641242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564124600"/>
        <c:crosses val="autoZero"/>
        <c:auto val="1"/>
        <c:lblAlgn val="ctr"/>
        <c:lblOffset val="100"/>
        <c:noMultiLvlLbl val="0"/>
      </c:catAx>
      <c:valAx>
        <c:axId val="564124600"/>
        <c:scaling>
          <c:orientation val="minMax"/>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in 000s Currency units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_-* #\ ##0_-;\-* #\ ##0_-;_-* &quot;-&quot;??_-;_-@_-" sourceLinked="1"/>
        <c:majorTickMark val="none"/>
        <c:minorTickMark val="none"/>
        <c:tickLblPos val="nextTo"/>
        <c:crossAx val="564124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Return On Capital Employed</a:t>
            </a:r>
          </a:p>
          <a:p>
            <a:pPr>
              <a:defRPr/>
            </a:pPr>
            <a:r>
              <a:rPr lang="de-AT"/>
              <a:t>(ROCE)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barChart>
        <c:barDir val="col"/>
        <c:grouping val="clustered"/>
        <c:varyColors val="0"/>
        <c:ser>
          <c:idx val="0"/>
          <c:order val="0"/>
          <c:tx>
            <c:strRef>
              <c:f>DASHBOARD!$H$19</c:f>
              <c:strCache>
                <c:ptCount val="1"/>
                <c:pt idx="0">
                  <c:v>Return On Capital Employed</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DASHBOARD!$I$18:$M$18</c:f>
              <c:numCache>
                <c:formatCode>General</c:formatCode>
                <c:ptCount val="5"/>
                <c:pt idx="0">
                  <c:v>1</c:v>
                </c:pt>
                <c:pt idx="1">
                  <c:v>2</c:v>
                </c:pt>
                <c:pt idx="2">
                  <c:v>3</c:v>
                </c:pt>
                <c:pt idx="3">
                  <c:v>4</c:v>
                </c:pt>
                <c:pt idx="4">
                  <c:v>5</c:v>
                </c:pt>
              </c:numCache>
            </c:numRef>
          </c:cat>
          <c:val>
            <c:numRef>
              <c:f>DASHBOARD!$I$19:$M$19</c:f>
              <c:numCache>
                <c:formatCode>0%</c:formatCode>
                <c:ptCount val="5"/>
                <c:pt idx="0">
                  <c:v>0.14165804132119561</c:v>
                </c:pt>
                <c:pt idx="1">
                  <c:v>0.18138616701347834</c:v>
                </c:pt>
                <c:pt idx="2">
                  <c:v>0.67138975993996441</c:v>
                </c:pt>
                <c:pt idx="3">
                  <c:v>0.78136570366235614</c:v>
                </c:pt>
                <c:pt idx="4">
                  <c:v>0.73854492460577181</c:v>
                </c:pt>
              </c:numCache>
            </c:numRef>
          </c:val>
          <c:extLst>
            <c:ext xmlns:c16="http://schemas.microsoft.com/office/drawing/2014/chart" uri="{C3380CC4-5D6E-409C-BE32-E72D297353CC}">
              <c16:uniqueId val="{00000000-FDC0-4C67-87A9-BBE7B7442BAC}"/>
            </c:ext>
          </c:extLst>
        </c:ser>
        <c:dLbls>
          <c:dLblPos val="outEnd"/>
          <c:showLegendKey val="0"/>
          <c:showVal val="1"/>
          <c:showCatName val="0"/>
          <c:showSerName val="0"/>
          <c:showPercent val="0"/>
          <c:showBubbleSize val="0"/>
        </c:dLbls>
        <c:gapWidth val="219"/>
        <c:overlap val="-27"/>
        <c:axId val="564127160"/>
        <c:axId val="564123640"/>
      </c:barChart>
      <c:catAx>
        <c:axId val="5641271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564123640"/>
        <c:crosses val="autoZero"/>
        <c:auto val="1"/>
        <c:lblAlgn val="ctr"/>
        <c:lblOffset val="100"/>
        <c:noMultiLvlLbl val="0"/>
      </c:catAx>
      <c:valAx>
        <c:axId val="564123640"/>
        <c:scaling>
          <c:orientation val="minMax"/>
        </c:scaling>
        <c:delete val="1"/>
        <c:axPos val="l"/>
        <c:numFmt formatCode="0%" sourceLinked="1"/>
        <c:majorTickMark val="none"/>
        <c:minorTickMark val="none"/>
        <c:tickLblPos val="nextTo"/>
        <c:crossAx val="564127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Net cash provided</a:t>
            </a:r>
          </a:p>
          <a:p>
            <a:pPr>
              <a:defRPr/>
            </a:pPr>
            <a:r>
              <a:rPr lang="en-US"/>
              <a:t>by operating activities,</a:t>
            </a:r>
          </a:p>
          <a:p>
            <a:pPr>
              <a:defRPr/>
            </a:pPr>
            <a:r>
              <a:rPr lang="en-US"/>
              <a:t>in currency units</a:t>
            </a:r>
          </a:p>
        </c:rich>
      </c:tx>
      <c:layout>
        <c:manualLayout>
          <c:xMode val="edge"/>
          <c:yMode val="edge"/>
          <c:x val="0.33333125309841238"/>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barChart>
        <c:barDir val="col"/>
        <c:grouping val="clustered"/>
        <c:varyColors val="0"/>
        <c:ser>
          <c:idx val="0"/>
          <c:order val="0"/>
          <c:tx>
            <c:strRef>
              <c:f>DASHBOARD!$A$34</c:f>
              <c:strCache>
                <c:ptCount val="1"/>
                <c:pt idx="0">
                  <c:v>Net cash provided by operating activities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DASHBOARD!$B$33:$F$33</c:f>
              <c:numCache>
                <c:formatCode>General</c:formatCode>
                <c:ptCount val="5"/>
                <c:pt idx="0">
                  <c:v>1</c:v>
                </c:pt>
                <c:pt idx="1">
                  <c:v>2</c:v>
                </c:pt>
                <c:pt idx="2">
                  <c:v>3</c:v>
                </c:pt>
                <c:pt idx="3">
                  <c:v>4</c:v>
                </c:pt>
                <c:pt idx="4">
                  <c:v>5</c:v>
                </c:pt>
              </c:numCache>
            </c:numRef>
          </c:cat>
          <c:val>
            <c:numRef>
              <c:f>DASHBOARD!$B$34:$F$34</c:f>
              <c:numCache>
                <c:formatCode>_-* #\ ##0_-;\-* #\ ##0_-;_-* "-"??_-;_-@_-</c:formatCode>
                <c:ptCount val="5"/>
                <c:pt idx="0">
                  <c:v>120452.71428571422</c:v>
                </c:pt>
                <c:pt idx="1">
                  <c:v>383230.92857142841</c:v>
                </c:pt>
                <c:pt idx="2">
                  <c:v>2238654.5285714278</c:v>
                </c:pt>
                <c:pt idx="3">
                  <c:v>7584237.542857144</c:v>
                </c:pt>
                <c:pt idx="4">
                  <c:v>16466027.857142854</c:v>
                </c:pt>
              </c:numCache>
            </c:numRef>
          </c:val>
          <c:extLst>
            <c:ext xmlns:c16="http://schemas.microsoft.com/office/drawing/2014/chart" uri="{C3380CC4-5D6E-409C-BE32-E72D297353CC}">
              <c16:uniqueId val="{00000000-6CFA-4CEB-BD91-A6FDDAA636BA}"/>
            </c:ext>
          </c:extLst>
        </c:ser>
        <c:dLbls>
          <c:dLblPos val="outEnd"/>
          <c:showLegendKey val="0"/>
          <c:showVal val="1"/>
          <c:showCatName val="0"/>
          <c:showSerName val="0"/>
          <c:showPercent val="0"/>
          <c:showBubbleSize val="0"/>
        </c:dLbls>
        <c:gapWidth val="219"/>
        <c:overlap val="-27"/>
        <c:axId val="564120760"/>
        <c:axId val="564130680"/>
      </c:barChart>
      <c:catAx>
        <c:axId val="5641207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564130680"/>
        <c:crosses val="autoZero"/>
        <c:auto val="1"/>
        <c:lblAlgn val="ctr"/>
        <c:lblOffset val="100"/>
        <c:noMultiLvlLbl val="0"/>
      </c:catAx>
      <c:valAx>
        <c:axId val="564130680"/>
        <c:scaling>
          <c:orientation val="minMax"/>
        </c:scaling>
        <c:delete val="1"/>
        <c:axPos val="l"/>
        <c:majorGridlines>
          <c:spPr>
            <a:ln w="9525" cap="flat" cmpd="sng" algn="ctr">
              <a:solidFill>
                <a:schemeClr val="tx1">
                  <a:lumMod val="15000"/>
                  <a:lumOff val="85000"/>
                </a:schemeClr>
              </a:solidFill>
              <a:round/>
            </a:ln>
            <a:effectLst/>
          </c:spPr>
        </c:majorGridlines>
        <c:numFmt formatCode="_-* #\ ##0_-;\-* #\ ##0_-;_-* &quot;-&quot;??_-;_-@_-" sourceLinked="1"/>
        <c:majorTickMark val="out"/>
        <c:minorTickMark val="none"/>
        <c:tickLblPos val="nextTo"/>
        <c:crossAx val="5641207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Return on Assets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barChart>
        <c:barDir val="col"/>
        <c:grouping val="clustered"/>
        <c:varyColors val="0"/>
        <c:ser>
          <c:idx val="0"/>
          <c:order val="0"/>
          <c:tx>
            <c:strRef>
              <c:f>DASHBOARD!$H$35</c:f>
              <c:strCache>
                <c:ptCount val="1"/>
                <c:pt idx="0">
                  <c:v>Return on Assets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DASHBOARD!$I$34:$M$34</c:f>
              <c:numCache>
                <c:formatCode>General</c:formatCode>
                <c:ptCount val="5"/>
                <c:pt idx="0">
                  <c:v>1</c:v>
                </c:pt>
                <c:pt idx="1">
                  <c:v>2</c:v>
                </c:pt>
                <c:pt idx="2">
                  <c:v>3</c:v>
                </c:pt>
                <c:pt idx="3">
                  <c:v>4</c:v>
                </c:pt>
                <c:pt idx="4">
                  <c:v>5</c:v>
                </c:pt>
              </c:numCache>
            </c:numRef>
          </c:cat>
          <c:val>
            <c:numRef>
              <c:f>DASHBOARD!$I$35:$M$35</c:f>
              <c:numCache>
                <c:formatCode>0%</c:formatCode>
                <c:ptCount val="5"/>
                <c:pt idx="0">
                  <c:v>9.0799857700561468E-2</c:v>
                </c:pt>
                <c:pt idx="1">
                  <c:v>0.10310815213105659</c:v>
                </c:pt>
                <c:pt idx="2">
                  <c:v>0.41067288559298698</c:v>
                </c:pt>
                <c:pt idx="3">
                  <c:v>0.49241274743246266</c:v>
                </c:pt>
                <c:pt idx="4">
                  <c:v>0.48117601920912895</c:v>
                </c:pt>
              </c:numCache>
            </c:numRef>
          </c:val>
          <c:extLst>
            <c:ext xmlns:c16="http://schemas.microsoft.com/office/drawing/2014/chart" uri="{C3380CC4-5D6E-409C-BE32-E72D297353CC}">
              <c16:uniqueId val="{00000000-9374-4812-9237-388E69A197D8}"/>
            </c:ext>
          </c:extLst>
        </c:ser>
        <c:dLbls>
          <c:dLblPos val="outEnd"/>
          <c:showLegendKey val="0"/>
          <c:showVal val="1"/>
          <c:showCatName val="0"/>
          <c:showSerName val="0"/>
          <c:showPercent val="0"/>
          <c:showBubbleSize val="0"/>
        </c:dLbls>
        <c:gapWidth val="219"/>
        <c:overlap val="-27"/>
        <c:axId val="595516944"/>
        <c:axId val="595514704"/>
      </c:barChart>
      <c:catAx>
        <c:axId val="5955169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595514704"/>
        <c:crosses val="autoZero"/>
        <c:auto val="1"/>
        <c:lblAlgn val="ctr"/>
        <c:lblOffset val="100"/>
        <c:noMultiLvlLbl val="0"/>
      </c:catAx>
      <c:valAx>
        <c:axId val="59551470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595516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Return on Equity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barChart>
        <c:barDir val="col"/>
        <c:grouping val="clustered"/>
        <c:varyColors val="0"/>
        <c:ser>
          <c:idx val="0"/>
          <c:order val="0"/>
          <c:tx>
            <c:strRef>
              <c:f>DASHBOARD!$H$51</c:f>
              <c:strCache>
                <c:ptCount val="1"/>
                <c:pt idx="0">
                  <c:v>Return on Equity</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DASHBOARD!$I$50:$M$50</c:f>
              <c:numCache>
                <c:formatCode>General</c:formatCode>
                <c:ptCount val="5"/>
                <c:pt idx="0">
                  <c:v>1</c:v>
                </c:pt>
                <c:pt idx="1">
                  <c:v>2</c:v>
                </c:pt>
                <c:pt idx="2">
                  <c:v>3</c:v>
                </c:pt>
                <c:pt idx="3">
                  <c:v>4</c:v>
                </c:pt>
                <c:pt idx="4">
                  <c:v>5</c:v>
                </c:pt>
              </c:numCache>
            </c:numRef>
          </c:cat>
          <c:val>
            <c:numRef>
              <c:f>DASHBOARD!$I$51:$M$51</c:f>
              <c:numCache>
                <c:formatCode>0%</c:formatCode>
                <c:ptCount val="5"/>
                <c:pt idx="0">
                  <c:v>0.10667032005975545</c:v>
                </c:pt>
                <c:pt idx="1">
                  <c:v>0.14636572864376346</c:v>
                </c:pt>
                <c:pt idx="2">
                  <c:v>0.53783575428061348</c:v>
                </c:pt>
                <c:pt idx="3">
                  <c:v>0.59678392477430087</c:v>
                </c:pt>
                <c:pt idx="4">
                  <c:v>0.55728412496390911</c:v>
                </c:pt>
              </c:numCache>
            </c:numRef>
          </c:val>
          <c:extLst>
            <c:ext xmlns:c16="http://schemas.microsoft.com/office/drawing/2014/chart" uri="{C3380CC4-5D6E-409C-BE32-E72D297353CC}">
              <c16:uniqueId val="{00000000-B334-412A-A7F0-136B7170E0B6}"/>
            </c:ext>
          </c:extLst>
        </c:ser>
        <c:dLbls>
          <c:dLblPos val="outEnd"/>
          <c:showLegendKey val="0"/>
          <c:showVal val="1"/>
          <c:showCatName val="0"/>
          <c:showSerName val="0"/>
          <c:showPercent val="0"/>
          <c:showBubbleSize val="0"/>
        </c:dLbls>
        <c:gapWidth val="219"/>
        <c:overlap val="-27"/>
        <c:axId val="595531664"/>
        <c:axId val="595532624"/>
      </c:barChart>
      <c:catAx>
        <c:axId val="5955316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595532624"/>
        <c:crosses val="autoZero"/>
        <c:auto val="1"/>
        <c:lblAlgn val="ctr"/>
        <c:lblOffset val="100"/>
        <c:noMultiLvlLbl val="0"/>
      </c:catAx>
      <c:valAx>
        <c:axId val="59553262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95531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Liquidity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barChart>
        <c:barDir val="col"/>
        <c:grouping val="clustered"/>
        <c:varyColors val="0"/>
        <c:ser>
          <c:idx val="0"/>
          <c:order val="0"/>
          <c:tx>
            <c:strRef>
              <c:f>DASHBOARD!$A$54</c:f>
              <c:strCache>
                <c:ptCount val="1"/>
                <c:pt idx="0">
                  <c:v>Quick Ratio</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DASHBOARD!$B$53:$F$53</c:f>
              <c:numCache>
                <c:formatCode>General</c:formatCode>
                <c:ptCount val="5"/>
                <c:pt idx="0">
                  <c:v>1</c:v>
                </c:pt>
                <c:pt idx="1">
                  <c:v>2</c:v>
                </c:pt>
                <c:pt idx="2">
                  <c:v>3</c:v>
                </c:pt>
                <c:pt idx="3">
                  <c:v>4</c:v>
                </c:pt>
                <c:pt idx="4">
                  <c:v>5</c:v>
                </c:pt>
              </c:numCache>
            </c:numRef>
          </c:cat>
          <c:val>
            <c:numRef>
              <c:f>DASHBOARD!$B$54:$F$54</c:f>
              <c:numCache>
                <c:formatCode>_(* #,##0.00_);_(* \(#,##0.00\);_(* "-"??_);_(@_)</c:formatCode>
                <c:ptCount val="5"/>
                <c:pt idx="0">
                  <c:v>5.506389115233941</c:v>
                </c:pt>
                <c:pt idx="1">
                  <c:v>4.2874846250940992</c:v>
                </c:pt>
                <c:pt idx="2">
                  <c:v>3.8588710316389787</c:v>
                </c:pt>
                <c:pt idx="3">
                  <c:v>5.1357718613577408</c:v>
                </c:pt>
                <c:pt idx="4">
                  <c:v>6.7211858993633102</c:v>
                </c:pt>
              </c:numCache>
            </c:numRef>
          </c:val>
          <c:extLst>
            <c:ext xmlns:c16="http://schemas.microsoft.com/office/drawing/2014/chart" uri="{C3380CC4-5D6E-409C-BE32-E72D297353CC}">
              <c16:uniqueId val="{00000000-7AD2-417E-91A5-3366741C1C20}"/>
            </c:ext>
          </c:extLst>
        </c:ser>
        <c:ser>
          <c:idx val="1"/>
          <c:order val="1"/>
          <c:tx>
            <c:strRef>
              <c:f>DASHBOARD!$A$55</c:f>
              <c:strCache>
                <c:ptCount val="1"/>
                <c:pt idx="0">
                  <c:v>Current Ratio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DASHBOARD!$B$53:$F$53</c:f>
              <c:numCache>
                <c:formatCode>General</c:formatCode>
                <c:ptCount val="5"/>
                <c:pt idx="0">
                  <c:v>1</c:v>
                </c:pt>
                <c:pt idx="1">
                  <c:v>2</c:v>
                </c:pt>
                <c:pt idx="2">
                  <c:v>3</c:v>
                </c:pt>
                <c:pt idx="3">
                  <c:v>4</c:v>
                </c:pt>
                <c:pt idx="4">
                  <c:v>5</c:v>
                </c:pt>
              </c:numCache>
            </c:numRef>
          </c:cat>
          <c:val>
            <c:numRef>
              <c:f>DASHBOARD!$B$55:$F$55</c:f>
              <c:numCache>
                <c:formatCode>_-* #\ ##0.0_-;\-* #\ ##0.0_-;_-* "-"??_-;_-@_-</c:formatCode>
                <c:ptCount val="5"/>
                <c:pt idx="0">
                  <c:v>6.0061985043531259</c:v>
                </c:pt>
                <c:pt idx="1">
                  <c:v>4.7658237493328404</c:v>
                </c:pt>
                <c:pt idx="2">
                  <c:v>4.5056142691353394</c:v>
                </c:pt>
                <c:pt idx="3">
                  <c:v>5.6787312081978705</c:v>
                </c:pt>
                <c:pt idx="4">
                  <c:v>7.1527698087448659</c:v>
                </c:pt>
              </c:numCache>
            </c:numRef>
          </c:val>
          <c:extLst>
            <c:ext xmlns:c16="http://schemas.microsoft.com/office/drawing/2014/chart" uri="{C3380CC4-5D6E-409C-BE32-E72D297353CC}">
              <c16:uniqueId val="{00000001-7AD2-417E-91A5-3366741C1C20}"/>
            </c:ext>
          </c:extLst>
        </c:ser>
        <c:dLbls>
          <c:dLblPos val="outEnd"/>
          <c:showLegendKey val="0"/>
          <c:showVal val="1"/>
          <c:showCatName val="0"/>
          <c:showSerName val="0"/>
          <c:showPercent val="0"/>
          <c:showBubbleSize val="0"/>
        </c:dLbls>
        <c:gapWidth val="219"/>
        <c:overlap val="-27"/>
        <c:axId val="595529744"/>
        <c:axId val="595533264"/>
      </c:barChart>
      <c:catAx>
        <c:axId val="5955297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595533264"/>
        <c:crosses val="autoZero"/>
        <c:auto val="1"/>
        <c:lblAlgn val="ctr"/>
        <c:lblOffset val="100"/>
        <c:noMultiLvlLbl val="0"/>
      </c:catAx>
      <c:valAx>
        <c:axId val="595533264"/>
        <c:scaling>
          <c:orientation val="minMax"/>
        </c:scaling>
        <c:delete val="1"/>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crossAx val="59552974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barChart>
        <c:barDir val="col"/>
        <c:grouping val="clustered"/>
        <c:varyColors val="0"/>
        <c:ser>
          <c:idx val="0"/>
          <c:order val="0"/>
          <c:tx>
            <c:strRef>
              <c:f>DASHBOARD!$H$67</c:f>
              <c:strCache>
                <c:ptCount val="1"/>
                <c:pt idx="0">
                  <c:v>Asset Utilization Ratio</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DASHBOARD!$I$66:$M$66</c:f>
              <c:numCache>
                <c:formatCode>General</c:formatCode>
                <c:ptCount val="5"/>
                <c:pt idx="0">
                  <c:v>1</c:v>
                </c:pt>
                <c:pt idx="1">
                  <c:v>2</c:v>
                </c:pt>
                <c:pt idx="2">
                  <c:v>3</c:v>
                </c:pt>
                <c:pt idx="3">
                  <c:v>4</c:v>
                </c:pt>
                <c:pt idx="4">
                  <c:v>5</c:v>
                </c:pt>
              </c:numCache>
            </c:numRef>
          </c:cat>
          <c:val>
            <c:numRef>
              <c:f>DASHBOARD!$I$67:$M$67</c:f>
              <c:numCache>
                <c:formatCode>0%</c:formatCode>
                <c:ptCount val="5"/>
                <c:pt idx="0">
                  <c:v>1.571209260600783</c:v>
                </c:pt>
                <c:pt idx="1">
                  <c:v>1.7514276702751999</c:v>
                </c:pt>
                <c:pt idx="2">
                  <c:v>2.2581891770867548</c:v>
                </c:pt>
                <c:pt idx="3">
                  <c:v>1.8932635311984247</c:v>
                </c:pt>
                <c:pt idx="4">
                  <c:v>1.5968166032888145</c:v>
                </c:pt>
              </c:numCache>
            </c:numRef>
          </c:val>
          <c:extLst>
            <c:ext xmlns:c16="http://schemas.microsoft.com/office/drawing/2014/chart" uri="{C3380CC4-5D6E-409C-BE32-E72D297353CC}">
              <c16:uniqueId val="{00000000-78FE-4112-A88D-ABB17E9D8F6E}"/>
            </c:ext>
          </c:extLst>
        </c:ser>
        <c:dLbls>
          <c:dLblPos val="outEnd"/>
          <c:showLegendKey val="0"/>
          <c:showVal val="1"/>
          <c:showCatName val="0"/>
          <c:showSerName val="0"/>
          <c:showPercent val="0"/>
          <c:showBubbleSize val="0"/>
        </c:dLbls>
        <c:gapWidth val="219"/>
        <c:overlap val="-27"/>
        <c:axId val="488512080"/>
        <c:axId val="488522000"/>
      </c:barChart>
      <c:catAx>
        <c:axId val="4885120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ID4096"/>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488522000"/>
        <c:crosses val="autoZero"/>
        <c:auto val="1"/>
        <c:lblAlgn val="ctr"/>
        <c:lblOffset val="100"/>
        <c:noMultiLvlLbl val="0"/>
      </c:catAx>
      <c:valAx>
        <c:axId val="48852200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488512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12700</xdr:rowOff>
    </xdr:from>
    <xdr:to>
      <xdr:col>11</xdr:col>
      <xdr:colOff>488950</xdr:colOff>
      <xdr:row>48</xdr:row>
      <xdr:rowOff>171450</xdr:rowOff>
    </xdr:to>
    <xdr:sp macro="" textlink="">
      <xdr:nvSpPr>
        <xdr:cNvPr id="2" name="Textfeld 1">
          <a:extLst>
            <a:ext uri="{FF2B5EF4-FFF2-40B4-BE49-F238E27FC236}">
              <a16:creationId xmlns:a16="http://schemas.microsoft.com/office/drawing/2014/main" id="{1D2124FA-AD54-4E79-9E66-C363A875A380}"/>
            </a:ext>
          </a:extLst>
        </xdr:cNvPr>
        <xdr:cNvSpPr txBox="1"/>
      </xdr:nvSpPr>
      <xdr:spPr>
        <a:xfrm>
          <a:off x="57150" y="12700"/>
          <a:ext cx="8813800" cy="8997950"/>
        </a:xfrm>
        <a:prstGeom prst="rect">
          <a:avLst/>
        </a:prstGeom>
        <a:solidFill>
          <a:schemeClr val="accent6">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AT" sz="1100">
              <a:solidFill>
                <a:schemeClr val="bg1"/>
              </a:solidFill>
              <a:latin typeface="Verdana" panose="020B0604030504040204" pitchFamily="34" charset="0"/>
              <a:ea typeface="Verdana" panose="020B0604030504040204" pitchFamily="34" charset="0"/>
            </a:rPr>
            <a:t>Pro-forma</a:t>
          </a:r>
          <a:r>
            <a:rPr lang="de-AT" sz="1100" baseline="0">
              <a:solidFill>
                <a:schemeClr val="bg1"/>
              </a:solidFill>
              <a:latin typeface="Verdana" panose="020B0604030504040204" pitchFamily="34" charset="0"/>
              <a:ea typeface="Verdana" panose="020B0604030504040204" pitchFamily="34" charset="0"/>
            </a:rPr>
            <a:t> Financial Statements - Basic Version		</a:t>
          </a:r>
          <a:r>
            <a:rPr lang="x-none" sz="1100">
              <a:solidFill>
                <a:schemeClr val="bg1"/>
              </a:solidFill>
              <a:effectLst/>
              <a:latin typeface="Verdana" panose="020B0604030504040204" pitchFamily="34" charset="0"/>
              <a:ea typeface="Verdana" panose="020B0604030504040204" pitchFamily="34" charset="0"/>
              <a:cs typeface="+mn-cs"/>
            </a:rPr>
            <a:t>©</a:t>
          </a:r>
          <a:r>
            <a:rPr lang="de-AT" sz="1100">
              <a:solidFill>
                <a:schemeClr val="bg1"/>
              </a:solidFill>
              <a:effectLst/>
              <a:latin typeface="Verdana" panose="020B0604030504040204" pitchFamily="34" charset="0"/>
              <a:ea typeface="Verdana" panose="020B0604030504040204" pitchFamily="34" charset="0"/>
              <a:cs typeface="+mn-cs"/>
            </a:rPr>
            <a:t> Marian Mazdra		www.afersu.com</a:t>
          </a:r>
        </a:p>
        <a:p>
          <a:pPr marL="0" marR="0" lvl="0" indent="0" defTabSz="914400" eaLnBrk="1" fontAlgn="auto" latinLnBrk="0" hangingPunct="1">
            <a:lnSpc>
              <a:spcPct val="100000"/>
            </a:lnSpc>
            <a:spcBef>
              <a:spcPts val="0"/>
            </a:spcBef>
            <a:spcAft>
              <a:spcPts val="0"/>
            </a:spcAft>
            <a:buClrTx/>
            <a:buSzTx/>
            <a:buFontTx/>
            <a:buNone/>
            <a:tabLst/>
            <a:defRPr/>
          </a:pPr>
          <a:endParaRPr lang="de-AT" sz="1100">
            <a:solidFill>
              <a:schemeClr val="bg1"/>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AT" sz="1100" baseline="0">
              <a:solidFill>
                <a:schemeClr val="bg1"/>
              </a:solidFill>
              <a:effectLst/>
              <a:latin typeface="Verdana" panose="020B0604030504040204" pitchFamily="34" charset="0"/>
              <a:ea typeface="Verdana" panose="020B0604030504040204" pitchFamily="34" charset="0"/>
              <a:cs typeface="+mn-cs"/>
            </a:rPr>
            <a:t>Project start: January 2002</a:t>
          </a:r>
        </a:p>
        <a:p>
          <a:pPr marL="0" marR="0" lvl="0" indent="0" defTabSz="914400" eaLnBrk="1" fontAlgn="auto" latinLnBrk="0" hangingPunct="1">
            <a:lnSpc>
              <a:spcPct val="100000"/>
            </a:lnSpc>
            <a:spcBef>
              <a:spcPts val="0"/>
            </a:spcBef>
            <a:spcAft>
              <a:spcPts val="0"/>
            </a:spcAft>
            <a:buClrTx/>
            <a:buSzTx/>
            <a:buFontTx/>
            <a:buNone/>
            <a:tabLst/>
            <a:defRPr/>
          </a:pPr>
          <a:r>
            <a:rPr lang="de-AT" sz="1100" baseline="0">
              <a:solidFill>
                <a:schemeClr val="bg1"/>
              </a:solidFill>
              <a:effectLst/>
              <a:latin typeface="Verdana" panose="020B0604030504040204" pitchFamily="34" charset="0"/>
              <a:ea typeface="Verdana" panose="020B0604030504040204" pitchFamily="34" charset="0"/>
              <a:cs typeface="+mn-cs"/>
            </a:rPr>
            <a:t>Last update: January 2019</a:t>
          </a:r>
          <a:endParaRPr lang="de-AT" sz="1100">
            <a:solidFill>
              <a:schemeClr val="bg1"/>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AT" sz="1100">
            <a:solidFill>
              <a:schemeClr val="bg1"/>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AT" sz="1100">
            <a:solidFill>
              <a:schemeClr val="bg1"/>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AT" sz="1100">
            <a:solidFill>
              <a:schemeClr val="bg1"/>
            </a:solidFill>
            <a:effectLst/>
            <a:latin typeface="Verdana" panose="020B0604030504040204" pitchFamily="34" charset="0"/>
            <a:ea typeface="Verdana" panose="020B060403050404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de-AT" sz="1400" b="1">
              <a:solidFill>
                <a:schemeClr val="bg1"/>
              </a:solidFill>
              <a:effectLst/>
              <a:latin typeface="Verdana" panose="020B0604030504040204" pitchFamily="34" charset="0"/>
              <a:ea typeface="Verdana" panose="020B0604030504040204" pitchFamily="34" charset="0"/>
              <a:cs typeface="+mn-cs"/>
            </a:rPr>
            <a:t>HOW TO USE THIS SPREADSHEET</a:t>
          </a:r>
        </a:p>
        <a:p>
          <a:pPr marL="0" marR="0" lvl="0" indent="0" defTabSz="914400" eaLnBrk="1" fontAlgn="auto" latinLnBrk="0" hangingPunct="1">
            <a:lnSpc>
              <a:spcPct val="100000"/>
            </a:lnSpc>
            <a:spcBef>
              <a:spcPts val="0"/>
            </a:spcBef>
            <a:spcAft>
              <a:spcPts val="0"/>
            </a:spcAft>
            <a:buClrTx/>
            <a:buSzTx/>
            <a:buFontTx/>
            <a:buNone/>
            <a:tabLst/>
            <a:defRPr/>
          </a:pPr>
          <a:endParaRPr lang="de-AT" sz="1100">
            <a:solidFill>
              <a:schemeClr val="bg1"/>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x-none" sz="1100">
            <a:solidFill>
              <a:schemeClr val="bg1"/>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AT" sz="1100">
              <a:solidFill>
                <a:schemeClr val="bg1"/>
              </a:solidFill>
              <a:latin typeface="Verdana" panose="020B0604030504040204" pitchFamily="34" charset="0"/>
              <a:ea typeface="Verdana" panose="020B0604030504040204" pitchFamily="34" charset="0"/>
            </a:rPr>
            <a:t>This template</a:t>
          </a:r>
          <a:r>
            <a:rPr lang="de-AT" sz="1100" baseline="0">
              <a:solidFill>
                <a:schemeClr val="bg1"/>
              </a:solidFill>
              <a:latin typeface="Verdana" panose="020B0604030504040204" pitchFamily="34" charset="0"/>
              <a:ea typeface="Verdana" panose="020B0604030504040204" pitchFamily="34" charset="0"/>
            </a:rPr>
            <a:t> contains 16 worksheets. All of them are interlinked. Whenever you make changes in one of them, all necessary calculations are performed automatically and immediately.</a:t>
          </a:r>
        </a:p>
        <a:p>
          <a:pPr marL="0" marR="0" lvl="0" indent="0" defTabSz="914400" eaLnBrk="1" fontAlgn="auto" latinLnBrk="0" hangingPunct="1">
            <a:lnSpc>
              <a:spcPct val="100000"/>
            </a:lnSpc>
            <a:spcBef>
              <a:spcPts val="0"/>
            </a:spcBef>
            <a:spcAft>
              <a:spcPts val="0"/>
            </a:spcAft>
            <a:buClrTx/>
            <a:buSzTx/>
            <a:buFontTx/>
            <a:buNone/>
            <a:tabLst/>
            <a:defRPr/>
          </a:pPr>
          <a:endParaRPr lang="de-AT" sz="1100" baseline="0">
            <a:solidFill>
              <a:schemeClr val="bg1"/>
            </a:solidFill>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AT" sz="1100" baseline="0">
              <a:solidFill>
                <a:schemeClr val="bg1"/>
              </a:solidFill>
              <a:latin typeface="Verdana" panose="020B0604030504040204" pitchFamily="34" charset="0"/>
              <a:ea typeface="Verdana" panose="020B0604030504040204" pitchFamily="34" charset="0"/>
            </a:rPr>
            <a:t>The values you see in the download version are for illustration purposes. Users must enter their own data. If a certain item does not apply to your situation (e.g., the inventory data might be meaningless to a service company), insert 0 (zero) into the respective cells.</a:t>
          </a:r>
          <a:endParaRPr lang="de-AT" sz="1100">
            <a:solidFill>
              <a:schemeClr val="bg1"/>
            </a:solidFill>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de-AT" sz="1100">
            <a:solidFill>
              <a:schemeClr val="bg1"/>
            </a:solidFill>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AT" sz="1100" b="1">
              <a:solidFill>
                <a:schemeClr val="bg1"/>
              </a:solidFill>
              <a:latin typeface="Verdana" panose="020B0604030504040204" pitchFamily="34" charset="0"/>
              <a:ea typeface="Verdana" panose="020B0604030504040204" pitchFamily="34" charset="0"/>
            </a:rPr>
            <a:t>Enter</a:t>
          </a:r>
          <a:r>
            <a:rPr lang="de-AT" sz="1100" b="1" baseline="0">
              <a:solidFill>
                <a:schemeClr val="bg1"/>
              </a:solidFill>
              <a:latin typeface="Verdana" panose="020B0604030504040204" pitchFamily="34" charset="0"/>
              <a:ea typeface="Verdana" panose="020B0604030504040204" pitchFamily="34" charset="0"/>
            </a:rPr>
            <a:t> your forecast data into the green-shaded cells only</a:t>
          </a:r>
          <a:r>
            <a:rPr lang="de-AT" sz="1100" baseline="0">
              <a:solidFill>
                <a:schemeClr val="bg1"/>
              </a:solidFill>
              <a:latin typeface="Verdana" panose="020B0604030504040204" pitchFamily="34" charset="0"/>
              <a:ea typeface="Verdana" panose="020B0604030504040204" pitchFamily="34" charset="0"/>
            </a:rPr>
            <a:t>. You may also edit the items in each worksheet (in the column A). </a:t>
          </a:r>
          <a:r>
            <a:rPr lang="de-AT" sz="1100" baseline="0">
              <a:solidFill>
                <a:schemeClr val="bg1"/>
              </a:solidFill>
              <a:effectLst/>
              <a:latin typeface="Verdana" panose="020B0604030504040204" pitchFamily="34" charset="0"/>
              <a:ea typeface="Verdana" panose="020B0604030504040204" pitchFamily="34" charset="0"/>
              <a:cs typeface="+mn-cs"/>
            </a:rPr>
            <a:t>Manipulating the spreadsheet with inaccurate formulas and content will render the entire template useless. </a:t>
          </a:r>
          <a:endParaRPr lang="en-AT">
            <a:solidFill>
              <a:schemeClr val="bg1"/>
            </a:solidFill>
            <a:effectLst/>
            <a:latin typeface="Verdana" panose="020B0604030504040204" pitchFamily="34" charset="0"/>
            <a:ea typeface="Verdana" panose="020B0604030504040204" pitchFamily="34" charset="0"/>
          </a:endParaRPr>
        </a:p>
        <a:p>
          <a:endParaRPr lang="de-AT" sz="1100" baseline="0">
            <a:solidFill>
              <a:schemeClr val="bg1"/>
            </a:solidFill>
            <a:latin typeface="Verdana" panose="020B0604030504040204" pitchFamily="34" charset="0"/>
            <a:ea typeface="Verdana" panose="020B0604030504040204" pitchFamily="34" charset="0"/>
          </a:endParaRPr>
        </a:p>
        <a:p>
          <a:r>
            <a:rPr lang="de-AT" sz="1100" baseline="0">
              <a:solidFill>
                <a:schemeClr val="bg1"/>
              </a:solidFill>
              <a:latin typeface="Verdana" panose="020B0604030504040204" pitchFamily="34" charset="0"/>
              <a:ea typeface="Verdana" panose="020B0604030504040204" pitchFamily="34" charset="0"/>
            </a:rPr>
            <a:t>This basic version regards the most fundamental needs for the financial planning of start-ups and small business owners. Once the data has been entered into the green cells, the system returns:</a:t>
          </a:r>
        </a:p>
        <a:p>
          <a:endParaRPr lang="de-AT" sz="1100" baseline="0">
            <a:solidFill>
              <a:schemeClr val="bg1"/>
            </a:solidFill>
            <a:latin typeface="Verdana" panose="020B0604030504040204" pitchFamily="34" charset="0"/>
            <a:ea typeface="Verdana" panose="020B0604030504040204" pitchFamily="34" charset="0"/>
          </a:endParaRPr>
        </a:p>
        <a:p>
          <a:r>
            <a:rPr lang="de-AT" sz="1100" b="1" baseline="0">
              <a:solidFill>
                <a:schemeClr val="bg1"/>
              </a:solidFill>
              <a:latin typeface="Verdana" panose="020B0604030504040204" pitchFamily="34" charset="0"/>
              <a:ea typeface="Verdana" panose="020B0604030504040204" pitchFamily="34" charset="0"/>
            </a:rPr>
            <a:t>- The pro-forma Balance sheets </a:t>
          </a:r>
          <a:r>
            <a:rPr lang="de-AT" sz="1100" b="0" baseline="0">
              <a:solidFill>
                <a:schemeClr val="bg1"/>
              </a:solidFill>
              <a:latin typeface="Verdana" panose="020B0604030504040204" pitchFamily="34" charset="0"/>
              <a:ea typeface="Verdana" panose="020B0604030504040204" pitchFamily="34" charset="0"/>
            </a:rPr>
            <a:t>(see the "BALANCE" worksheet)</a:t>
          </a:r>
          <a:endParaRPr lang="de-AT" sz="1100" b="1" baseline="0">
            <a:solidFill>
              <a:schemeClr val="bg1"/>
            </a:solidFill>
            <a:latin typeface="Verdana" panose="020B0604030504040204" pitchFamily="34" charset="0"/>
            <a:ea typeface="Verdana" panose="020B0604030504040204" pitchFamily="34" charset="0"/>
          </a:endParaRPr>
        </a:p>
        <a:p>
          <a:endParaRPr lang="de-AT" sz="1100" b="1" baseline="0">
            <a:solidFill>
              <a:schemeClr val="bg1"/>
            </a:solidFill>
            <a:latin typeface="Verdana" panose="020B0604030504040204" pitchFamily="34" charset="0"/>
            <a:ea typeface="Verdana" panose="020B0604030504040204" pitchFamily="34" charset="0"/>
          </a:endParaRPr>
        </a:p>
        <a:p>
          <a:r>
            <a:rPr lang="de-AT" sz="1100" b="1" baseline="0">
              <a:solidFill>
                <a:schemeClr val="bg1"/>
              </a:solidFill>
              <a:latin typeface="Verdana" panose="020B0604030504040204" pitchFamily="34" charset="0"/>
              <a:ea typeface="Verdana" panose="020B0604030504040204" pitchFamily="34" charset="0"/>
            </a:rPr>
            <a:t>- The pro-forma Profit &amp; Loss Statements </a:t>
          </a:r>
          <a:r>
            <a:rPr lang="de-AT" sz="1100" b="0" baseline="0">
              <a:solidFill>
                <a:schemeClr val="bg1"/>
              </a:solidFill>
              <a:latin typeface="Verdana" panose="020B0604030504040204" pitchFamily="34" charset="0"/>
              <a:ea typeface="Verdana" panose="020B0604030504040204" pitchFamily="34" charset="0"/>
            </a:rPr>
            <a:t>("PL")</a:t>
          </a:r>
          <a:endParaRPr lang="de-AT" sz="1100" b="1" baseline="0">
            <a:solidFill>
              <a:schemeClr val="bg1"/>
            </a:solidFill>
            <a:latin typeface="Verdana" panose="020B0604030504040204" pitchFamily="34" charset="0"/>
            <a:ea typeface="Verdana" panose="020B0604030504040204" pitchFamily="34" charset="0"/>
          </a:endParaRPr>
        </a:p>
        <a:p>
          <a:endParaRPr lang="de-AT" sz="1100" b="1" baseline="0">
            <a:solidFill>
              <a:schemeClr val="bg1"/>
            </a:solidFill>
            <a:latin typeface="Verdana" panose="020B0604030504040204" pitchFamily="34" charset="0"/>
            <a:ea typeface="Verdana" panose="020B0604030504040204" pitchFamily="34" charset="0"/>
          </a:endParaRPr>
        </a:p>
        <a:p>
          <a:r>
            <a:rPr lang="de-AT" sz="1100" b="1" baseline="0">
              <a:solidFill>
                <a:schemeClr val="bg1"/>
              </a:solidFill>
              <a:latin typeface="Verdana" panose="020B0604030504040204" pitchFamily="34" charset="0"/>
              <a:ea typeface="Verdana" panose="020B0604030504040204" pitchFamily="34" charset="0"/>
            </a:rPr>
            <a:t>- The Cash-flow Statements </a:t>
          </a:r>
          <a:r>
            <a:rPr lang="de-AT" sz="1100" b="0" baseline="0">
              <a:solidFill>
                <a:schemeClr val="bg1"/>
              </a:solidFill>
              <a:latin typeface="Verdana" panose="020B0604030504040204" pitchFamily="34" charset="0"/>
              <a:ea typeface="Verdana" panose="020B0604030504040204" pitchFamily="34" charset="0"/>
            </a:rPr>
            <a:t>("CASHFLOW")</a:t>
          </a:r>
        </a:p>
        <a:p>
          <a:endParaRPr lang="de-AT" sz="1100" baseline="0">
            <a:solidFill>
              <a:schemeClr val="bg1"/>
            </a:solidFill>
            <a:latin typeface="Verdana" panose="020B0604030504040204" pitchFamily="34" charset="0"/>
            <a:ea typeface="Verdana" panose="020B0604030504040204" pitchFamily="34" charset="0"/>
          </a:endParaRPr>
        </a:p>
        <a:p>
          <a:r>
            <a:rPr lang="de-AT" sz="1100" baseline="0">
              <a:solidFill>
                <a:schemeClr val="bg1"/>
              </a:solidFill>
              <a:latin typeface="Verdana" panose="020B0604030504040204" pitchFamily="34" charset="0"/>
              <a:ea typeface="Verdana" panose="020B0604030504040204" pitchFamily="34" charset="0"/>
            </a:rPr>
            <a:t>for each of the first 5 years.</a:t>
          </a:r>
        </a:p>
        <a:p>
          <a:endParaRPr lang="de-AT" sz="1100" baseline="0">
            <a:solidFill>
              <a:schemeClr val="bg1"/>
            </a:solidFill>
            <a:latin typeface="Verdana" panose="020B0604030504040204" pitchFamily="34" charset="0"/>
            <a:ea typeface="Verdana" panose="020B0604030504040204" pitchFamily="34" charset="0"/>
          </a:endParaRPr>
        </a:p>
        <a:p>
          <a:r>
            <a:rPr lang="de-AT" sz="1100" baseline="0">
              <a:solidFill>
                <a:schemeClr val="bg1"/>
              </a:solidFill>
              <a:latin typeface="Verdana" panose="020B0604030504040204" pitchFamily="34" charset="0"/>
              <a:ea typeface="Verdana" panose="020B0604030504040204" pitchFamily="34" charset="0"/>
            </a:rPr>
            <a:t>The </a:t>
          </a:r>
          <a:r>
            <a:rPr lang="de-AT" sz="1100" b="1" baseline="0">
              <a:solidFill>
                <a:schemeClr val="bg1"/>
              </a:solidFill>
              <a:latin typeface="Verdana" panose="020B0604030504040204" pitchFamily="34" charset="0"/>
              <a:ea typeface="Verdana" panose="020B0604030504040204" pitchFamily="34" charset="0"/>
            </a:rPr>
            <a:t>Profit &amp; Loss Statement </a:t>
          </a:r>
          <a:r>
            <a:rPr lang="de-AT" sz="1100" baseline="0">
              <a:solidFill>
                <a:schemeClr val="bg1"/>
              </a:solidFill>
              <a:latin typeface="Verdana" panose="020B0604030504040204" pitchFamily="34" charset="0"/>
              <a:ea typeface="Verdana" panose="020B0604030504040204" pitchFamily="34" charset="0"/>
            </a:rPr>
            <a:t>and </a:t>
          </a:r>
          <a:r>
            <a:rPr lang="de-AT" sz="1100" b="1" baseline="0">
              <a:solidFill>
                <a:schemeClr val="bg1"/>
              </a:solidFill>
              <a:latin typeface="Verdana" panose="020B0604030504040204" pitchFamily="34" charset="0"/>
              <a:ea typeface="Verdana" panose="020B0604030504040204" pitchFamily="34" charset="0"/>
            </a:rPr>
            <a:t>Cash-flow Statement  month over month for the first year </a:t>
          </a:r>
          <a:r>
            <a:rPr lang="de-AT" sz="1100" baseline="0">
              <a:solidFill>
                <a:schemeClr val="bg1"/>
              </a:solidFill>
              <a:latin typeface="Verdana" panose="020B0604030504040204" pitchFamily="34" charset="0"/>
              <a:ea typeface="Verdana" panose="020B0604030504040204" pitchFamily="34" charset="0"/>
            </a:rPr>
            <a:t>are also provided ("PL_INTRAYEAR" and "CASHFLOW_INTRAYEAR", respectively).</a:t>
          </a:r>
        </a:p>
        <a:p>
          <a:endParaRPr lang="de-AT" sz="1100" baseline="0">
            <a:solidFill>
              <a:schemeClr val="bg1"/>
            </a:solidFill>
            <a:latin typeface="Verdana" panose="020B0604030504040204" pitchFamily="34" charset="0"/>
            <a:ea typeface="Verdana" panose="020B0604030504040204" pitchFamily="34" charset="0"/>
          </a:endParaRPr>
        </a:p>
        <a:p>
          <a:r>
            <a:rPr lang="de-AT" sz="1100" baseline="0">
              <a:solidFill>
                <a:schemeClr val="bg1"/>
              </a:solidFill>
              <a:latin typeface="Verdana" panose="020B0604030504040204" pitchFamily="34" charset="0"/>
              <a:ea typeface="Verdana" panose="020B0604030504040204" pitchFamily="34" charset="0"/>
            </a:rPr>
            <a:t>In additon, a range of </a:t>
          </a:r>
          <a:r>
            <a:rPr lang="de-AT" sz="1100" b="1" baseline="0">
              <a:solidFill>
                <a:schemeClr val="bg1"/>
              </a:solidFill>
              <a:latin typeface="Verdana" panose="020B0604030504040204" pitchFamily="34" charset="0"/>
              <a:ea typeface="Verdana" panose="020B0604030504040204" pitchFamily="34" charset="0"/>
            </a:rPr>
            <a:t>metrics is automatically calculated and displayed in graphic form </a:t>
          </a:r>
          <a:r>
            <a:rPr lang="de-AT" sz="1100" b="0" baseline="0">
              <a:solidFill>
                <a:schemeClr val="bg1"/>
              </a:solidFill>
              <a:latin typeface="Verdana" panose="020B0604030504040204" pitchFamily="34" charset="0"/>
              <a:ea typeface="Verdana" panose="020B0604030504040204" pitchFamily="34" charset="0"/>
            </a:rPr>
            <a:t>("DASHBOARD"). </a:t>
          </a:r>
        </a:p>
        <a:p>
          <a:endParaRPr lang="de-AT" sz="1100" baseline="0">
            <a:solidFill>
              <a:schemeClr val="bg1"/>
            </a:solidFill>
            <a:latin typeface="Verdana" panose="020B0604030504040204" pitchFamily="34" charset="0"/>
            <a:ea typeface="Verdana" panose="020B0604030504040204" pitchFamily="34" charset="0"/>
          </a:endParaRPr>
        </a:p>
        <a:p>
          <a:r>
            <a:rPr lang="de-AT" sz="1100" baseline="0">
              <a:solidFill>
                <a:schemeClr val="bg1"/>
              </a:solidFill>
              <a:latin typeface="Verdana" panose="020B0604030504040204" pitchFamily="34" charset="0"/>
              <a:ea typeface="Verdana" panose="020B0604030504040204" pitchFamily="34" charset="0"/>
            </a:rPr>
            <a:t>The template is used in a wide range of countries and legislations. E</a:t>
          </a:r>
          <a:r>
            <a:rPr lang="de-AT" sz="1100" baseline="0">
              <a:solidFill>
                <a:schemeClr val="bg1"/>
              </a:solidFill>
              <a:effectLst/>
              <a:latin typeface="Verdana" panose="020B0604030504040204" pitchFamily="34" charset="0"/>
              <a:ea typeface="Verdana" panose="020B0604030504040204" pitchFamily="34" charset="0"/>
              <a:cs typeface="+mn-cs"/>
            </a:rPr>
            <a:t>ntrepreneurs are </a:t>
          </a:r>
          <a:r>
            <a:rPr lang="de-AT" sz="1100" baseline="0">
              <a:solidFill>
                <a:schemeClr val="bg1"/>
              </a:solidFill>
              <a:latin typeface="Verdana" panose="020B0604030504040204" pitchFamily="34" charset="0"/>
              <a:ea typeface="Verdana" panose="020B0604030504040204" pitchFamily="34" charset="0"/>
            </a:rPr>
            <a:t>using it for their internal planning. </a:t>
          </a:r>
          <a:r>
            <a:rPr lang="de-AT" sz="1100" baseline="0">
              <a:solidFill>
                <a:schemeClr val="bg1"/>
              </a:solidFill>
              <a:effectLst/>
              <a:latin typeface="Verdana" panose="020B0604030504040204" pitchFamily="34" charset="0"/>
              <a:ea typeface="Verdana" panose="020B0604030504040204" pitchFamily="34" charset="0"/>
              <a:cs typeface="+mn-cs"/>
            </a:rPr>
            <a:t>Naturally, it is no substitute for expert advice. Users often approach us on how to reconfigure and extend the template. We are glad to assist in time series analyses by different geographies, branches, customer segments, in calculating credit concentration risks and many other specifications a generic download cannot provide. </a:t>
          </a:r>
        </a:p>
        <a:p>
          <a:endParaRPr lang="de-AT" sz="1100" baseline="0">
            <a:solidFill>
              <a:schemeClr val="bg1"/>
            </a:solidFill>
            <a:effectLst/>
            <a:latin typeface="Verdana" panose="020B0604030504040204" pitchFamily="34" charset="0"/>
            <a:ea typeface="Verdana" panose="020B0604030504040204" pitchFamily="34" charset="0"/>
            <a:cs typeface="+mn-cs"/>
          </a:endParaRPr>
        </a:p>
        <a:p>
          <a:r>
            <a:rPr lang="de-AT" sz="1100" baseline="0">
              <a:solidFill>
                <a:schemeClr val="bg1"/>
              </a:solidFill>
              <a:effectLst/>
              <a:latin typeface="Verdana" panose="020B0604030504040204" pitchFamily="34" charset="0"/>
              <a:ea typeface="Verdana" panose="020B0604030504040204" pitchFamily="34" charset="0"/>
              <a:cs typeface="+mn-cs"/>
            </a:rPr>
            <a:t>Working at the interface between finance and marketing, we have been supporting dozens of companies in their business planning processes and supported them all the way through successful implementation.</a:t>
          </a:r>
        </a:p>
        <a:p>
          <a:endParaRPr lang="de-AT" sz="1100" baseline="0">
            <a:solidFill>
              <a:schemeClr val="bg1"/>
            </a:solidFill>
            <a:latin typeface="Verdana" panose="020B0604030504040204" pitchFamily="34" charset="0"/>
            <a:ea typeface="Verdana" panose="020B0604030504040204" pitchFamily="34" charset="0"/>
          </a:endParaRPr>
        </a:p>
        <a:p>
          <a:r>
            <a:rPr lang="de-AT" sz="1100" baseline="0">
              <a:solidFill>
                <a:schemeClr val="bg1"/>
              </a:solidFill>
              <a:latin typeface="Verdana" panose="020B0604030504040204" pitchFamily="34" charset="0"/>
              <a:ea typeface="Verdana" panose="020B0604030504040204" pitchFamily="34" charset="0"/>
            </a:rPr>
            <a:t>Please feel free to write to support@afersu.com for any suggestions. </a:t>
          </a:r>
          <a:r>
            <a:rPr lang="de-AT" sz="1100" baseline="0">
              <a:solidFill>
                <a:schemeClr val="bg1"/>
              </a:solidFill>
              <a:effectLst/>
              <a:latin typeface="Verdana" panose="020B0604030504040204" pitchFamily="34" charset="0"/>
              <a:ea typeface="Verdana" panose="020B0604030504040204" pitchFamily="34" charset="0"/>
              <a:cs typeface="+mn-cs"/>
            </a:rPr>
            <a:t>We really appreciate your insightful comments: Thank you. </a:t>
          </a:r>
          <a:endParaRPr lang="de-AT" sz="1100" baseline="0">
            <a:solidFill>
              <a:schemeClr val="bg1"/>
            </a:solidFill>
            <a:latin typeface="Verdana" panose="020B0604030504040204" pitchFamily="34" charset="0"/>
            <a:ea typeface="Verdana" panose="020B0604030504040204" pitchFamily="34" charset="0"/>
          </a:endParaRPr>
        </a:p>
        <a:p>
          <a:endParaRPr lang="de-AT" sz="1100" baseline="0">
            <a:solidFill>
              <a:schemeClr val="bg1"/>
            </a:solidFill>
            <a:latin typeface="Verdana" panose="020B0604030504040204" pitchFamily="34" charset="0"/>
            <a:ea typeface="Verdana" panose="020B0604030504040204" pitchFamily="34" charset="0"/>
          </a:endParaRPr>
        </a:p>
        <a:p>
          <a:r>
            <a:rPr lang="de-AT" sz="1100" baseline="0">
              <a:solidFill>
                <a:schemeClr val="bg1"/>
              </a:solidFill>
              <a:latin typeface="Verdana" panose="020B0604030504040204" pitchFamily="34" charset="0"/>
              <a:ea typeface="Verdana" panose="020B0604030504040204" pitchFamily="34" charset="0"/>
            </a:rPr>
            <a:t>Live long and prosper!</a:t>
          </a:r>
        </a:p>
        <a:p>
          <a:endParaRPr lang="de-AT" sz="1100" baseline="0">
            <a:solidFill>
              <a:schemeClr val="bg1"/>
            </a:solidFill>
            <a:latin typeface="Verdana" panose="020B0604030504040204" pitchFamily="34" charset="0"/>
            <a:ea typeface="Verdana" panose="020B0604030504040204" pitchFamily="34" charset="0"/>
          </a:endParaRPr>
        </a:p>
        <a:p>
          <a:r>
            <a:rPr lang="de-AT" sz="1100" baseline="0">
              <a:solidFill>
                <a:schemeClr val="bg1"/>
              </a:solidFill>
              <a:latin typeface="Verdana" panose="020B0604030504040204" pitchFamily="34" charset="0"/>
              <a:ea typeface="Verdana" panose="020B0604030504040204" pitchFamily="34" charset="0"/>
            </a:rPr>
            <a:t>The Afersu Team</a:t>
          </a:r>
        </a:p>
        <a:p>
          <a:endParaRPr lang="de-AT" sz="1100" baseline="0">
            <a:solidFill>
              <a:schemeClr val="bg1"/>
            </a:solidFill>
            <a:latin typeface="Verdana" panose="020B0604030504040204" pitchFamily="34" charset="0"/>
            <a:ea typeface="Verdana" panose="020B0604030504040204" pitchFamily="34" charset="0"/>
          </a:endParaRPr>
        </a:p>
        <a:p>
          <a:endParaRPr lang="de-AT" sz="1100" baseline="0">
            <a:solidFill>
              <a:schemeClr val="bg1"/>
            </a:solidFill>
            <a:latin typeface="Verdana" panose="020B0604030504040204" pitchFamily="34" charset="0"/>
            <a:ea typeface="Verdana" panose="020B0604030504040204" pitchFamily="34" charset="0"/>
          </a:endParaRPr>
        </a:p>
        <a:p>
          <a:endParaRPr lang="de-AT" sz="1100" baseline="0">
            <a:solidFill>
              <a:schemeClr val="bg1"/>
            </a:solidFill>
          </a:endParaRPr>
        </a:p>
        <a:p>
          <a:endParaRPr lang="de-AT" sz="1100" baseline="0">
            <a:solidFill>
              <a:schemeClr val="bg1"/>
            </a:solidFill>
          </a:endParaRPr>
        </a:p>
        <a:p>
          <a:endParaRPr lang="de-AT" sz="1100" baseline="0">
            <a:solidFill>
              <a:schemeClr val="bg1"/>
            </a:solidFill>
          </a:endParaRPr>
        </a:p>
        <a:p>
          <a:endParaRPr lang="LID4096"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6</xdr:col>
      <xdr:colOff>107950</xdr:colOff>
      <xdr:row>14</xdr:row>
      <xdr:rowOff>174625</xdr:rowOff>
    </xdr:to>
    <xdr:graphicFrame macro="">
      <xdr:nvGraphicFramePr>
        <xdr:cNvPr id="2" name="Diagramm 1">
          <a:extLst>
            <a:ext uri="{FF2B5EF4-FFF2-40B4-BE49-F238E27FC236}">
              <a16:creationId xmlns:a16="http://schemas.microsoft.com/office/drawing/2014/main" id="{5BAB2586-BDCE-4FE2-9BBC-12550EDA66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415925</xdr:colOff>
      <xdr:row>0</xdr:row>
      <xdr:rowOff>12700</xdr:rowOff>
    </xdr:from>
    <xdr:to>
      <xdr:col>13</xdr:col>
      <xdr:colOff>631825</xdr:colOff>
      <xdr:row>14</xdr:row>
      <xdr:rowOff>177800</xdr:rowOff>
    </xdr:to>
    <xdr:graphicFrame macro="">
      <xdr:nvGraphicFramePr>
        <xdr:cNvPr id="3" name="Diagramm 2">
          <a:extLst>
            <a:ext uri="{FF2B5EF4-FFF2-40B4-BE49-F238E27FC236}">
              <a16:creationId xmlns:a16="http://schemas.microsoft.com/office/drawing/2014/main" id="{5441FF15-6019-4CA9-9D70-282FAD72FC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12700</xdr:colOff>
      <xdr:row>15</xdr:row>
      <xdr:rowOff>180975</xdr:rowOff>
    </xdr:from>
    <xdr:to>
      <xdr:col>6</xdr:col>
      <xdr:colOff>120650</xdr:colOff>
      <xdr:row>30</xdr:row>
      <xdr:rowOff>161925</xdr:rowOff>
    </xdr:to>
    <xdr:graphicFrame macro="">
      <xdr:nvGraphicFramePr>
        <xdr:cNvPr id="4" name="Diagramm 3">
          <a:extLst>
            <a:ext uri="{FF2B5EF4-FFF2-40B4-BE49-F238E27FC236}">
              <a16:creationId xmlns:a16="http://schemas.microsoft.com/office/drawing/2014/main" id="{3F9DF443-8FCD-4E2B-9029-CCDF2A14B5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428625</xdr:colOff>
      <xdr:row>15</xdr:row>
      <xdr:rowOff>180975</xdr:rowOff>
    </xdr:from>
    <xdr:to>
      <xdr:col>13</xdr:col>
      <xdr:colOff>650875</xdr:colOff>
      <xdr:row>30</xdr:row>
      <xdr:rowOff>161925</xdr:rowOff>
    </xdr:to>
    <xdr:graphicFrame macro="">
      <xdr:nvGraphicFramePr>
        <xdr:cNvPr id="5" name="Diagramm 4">
          <a:extLst>
            <a:ext uri="{FF2B5EF4-FFF2-40B4-BE49-F238E27FC236}">
              <a16:creationId xmlns:a16="http://schemas.microsoft.com/office/drawing/2014/main" id="{A644915A-A124-4269-AB95-F3DFDFBD7B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15874</xdr:colOff>
      <xdr:row>31</xdr:row>
      <xdr:rowOff>174625</xdr:rowOff>
    </xdr:from>
    <xdr:to>
      <xdr:col>6</xdr:col>
      <xdr:colOff>107950</xdr:colOff>
      <xdr:row>46</xdr:row>
      <xdr:rowOff>155575</xdr:rowOff>
    </xdr:to>
    <xdr:graphicFrame macro="">
      <xdr:nvGraphicFramePr>
        <xdr:cNvPr id="6" name="Diagramm 5">
          <a:extLst>
            <a:ext uri="{FF2B5EF4-FFF2-40B4-BE49-F238E27FC236}">
              <a16:creationId xmlns:a16="http://schemas.microsoft.com/office/drawing/2014/main" id="{07529B1D-FEDC-430D-A4E0-3B9FECBEE0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3175</xdr:colOff>
      <xdr:row>31</xdr:row>
      <xdr:rowOff>168275</xdr:rowOff>
    </xdr:from>
    <xdr:to>
      <xdr:col>13</xdr:col>
      <xdr:colOff>657225</xdr:colOff>
      <xdr:row>46</xdr:row>
      <xdr:rowOff>149225</xdr:rowOff>
    </xdr:to>
    <xdr:graphicFrame macro="">
      <xdr:nvGraphicFramePr>
        <xdr:cNvPr id="7" name="Diagramm 6">
          <a:extLst>
            <a:ext uri="{FF2B5EF4-FFF2-40B4-BE49-F238E27FC236}">
              <a16:creationId xmlns:a16="http://schemas.microsoft.com/office/drawing/2014/main" id="{31CA6487-CE16-4BF9-A8A8-2361B5EE8D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428624</xdr:colOff>
      <xdr:row>47</xdr:row>
      <xdr:rowOff>180975</xdr:rowOff>
    </xdr:from>
    <xdr:to>
      <xdr:col>14</xdr:col>
      <xdr:colOff>19049</xdr:colOff>
      <xdr:row>62</xdr:row>
      <xdr:rowOff>161925</xdr:rowOff>
    </xdr:to>
    <xdr:graphicFrame macro="">
      <xdr:nvGraphicFramePr>
        <xdr:cNvPr id="8" name="Diagramm 7">
          <a:extLst>
            <a:ext uri="{FF2B5EF4-FFF2-40B4-BE49-F238E27FC236}">
              <a16:creationId xmlns:a16="http://schemas.microsoft.com/office/drawing/2014/main" id="{32BD1C5D-DF35-4121-BF15-406CA6A7AE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12700</xdr:colOff>
      <xdr:row>47</xdr:row>
      <xdr:rowOff>180975</xdr:rowOff>
    </xdr:from>
    <xdr:to>
      <xdr:col>6</xdr:col>
      <xdr:colOff>114300</xdr:colOff>
      <xdr:row>62</xdr:row>
      <xdr:rowOff>161925</xdr:rowOff>
    </xdr:to>
    <xdr:graphicFrame macro="">
      <xdr:nvGraphicFramePr>
        <xdr:cNvPr id="11" name="Diagramm 10">
          <a:extLst>
            <a:ext uri="{FF2B5EF4-FFF2-40B4-BE49-F238E27FC236}">
              <a16:creationId xmlns:a16="http://schemas.microsoft.com/office/drawing/2014/main" id="{452F0B9B-3827-4B68-8CCF-E2886F0CA4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3175</xdr:colOff>
      <xdr:row>64</xdr:row>
      <xdr:rowOff>3175</xdr:rowOff>
    </xdr:from>
    <xdr:to>
      <xdr:col>13</xdr:col>
      <xdr:colOff>657225</xdr:colOff>
      <xdr:row>78</xdr:row>
      <xdr:rowOff>168275</xdr:rowOff>
    </xdr:to>
    <xdr:graphicFrame macro="">
      <xdr:nvGraphicFramePr>
        <xdr:cNvPr id="15" name="Diagramm 14">
          <a:extLst>
            <a:ext uri="{FF2B5EF4-FFF2-40B4-BE49-F238E27FC236}">
              <a16:creationId xmlns:a16="http://schemas.microsoft.com/office/drawing/2014/main" id="{945A6256-F07F-4627-927E-3E22EC772D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9524</xdr:colOff>
      <xdr:row>80</xdr:row>
      <xdr:rowOff>9525</xdr:rowOff>
    </xdr:from>
    <xdr:to>
      <xdr:col>6</xdr:col>
      <xdr:colOff>107949</xdr:colOff>
      <xdr:row>94</xdr:row>
      <xdr:rowOff>174625</xdr:rowOff>
    </xdr:to>
    <xdr:graphicFrame macro="">
      <xdr:nvGraphicFramePr>
        <xdr:cNvPr id="18" name="Diagramm 17">
          <a:extLst>
            <a:ext uri="{FF2B5EF4-FFF2-40B4-BE49-F238E27FC236}">
              <a16:creationId xmlns:a16="http://schemas.microsoft.com/office/drawing/2014/main" id="{BB9597FD-9D9C-42BF-8448-BAC97B2C4B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63</xdr:row>
      <xdr:rowOff>174625</xdr:rowOff>
    </xdr:from>
    <xdr:to>
      <xdr:col>6</xdr:col>
      <xdr:colOff>107950</xdr:colOff>
      <xdr:row>78</xdr:row>
      <xdr:rowOff>155575</xdr:rowOff>
    </xdr:to>
    <xdr:graphicFrame macro="">
      <xdr:nvGraphicFramePr>
        <xdr:cNvPr id="19" name="Diagramm 18">
          <a:extLst>
            <a:ext uri="{FF2B5EF4-FFF2-40B4-BE49-F238E27FC236}">
              <a16:creationId xmlns:a16="http://schemas.microsoft.com/office/drawing/2014/main" id="{020D69BB-EEAB-47B9-8E29-E4611FE5C7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3175</xdr:colOff>
      <xdr:row>80</xdr:row>
      <xdr:rowOff>9525</xdr:rowOff>
    </xdr:from>
    <xdr:to>
      <xdr:col>13</xdr:col>
      <xdr:colOff>657225</xdr:colOff>
      <xdr:row>94</xdr:row>
      <xdr:rowOff>174625</xdr:rowOff>
    </xdr:to>
    <xdr:graphicFrame macro="">
      <xdr:nvGraphicFramePr>
        <xdr:cNvPr id="20" name="Diagramm 19">
          <a:extLst>
            <a:ext uri="{FF2B5EF4-FFF2-40B4-BE49-F238E27FC236}">
              <a16:creationId xmlns:a16="http://schemas.microsoft.com/office/drawing/2014/main" id="{B7EA2611-C70D-4151-BEF3-95478E78AF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12700</xdr:colOff>
      <xdr:row>96</xdr:row>
      <xdr:rowOff>9525</xdr:rowOff>
    </xdr:from>
    <xdr:to>
      <xdr:col>6</xdr:col>
      <xdr:colOff>104775</xdr:colOff>
      <xdr:row>110</xdr:row>
      <xdr:rowOff>174625</xdr:rowOff>
    </xdr:to>
    <xdr:graphicFrame macro="">
      <xdr:nvGraphicFramePr>
        <xdr:cNvPr id="21" name="Diagramm 20">
          <a:extLst>
            <a:ext uri="{FF2B5EF4-FFF2-40B4-BE49-F238E27FC236}">
              <a16:creationId xmlns:a16="http://schemas.microsoft.com/office/drawing/2014/main" id="{BCDBBCF6-1841-4357-A7A6-E7ED19BFB0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409575</xdr:colOff>
      <xdr:row>96</xdr:row>
      <xdr:rowOff>15875</xdr:rowOff>
    </xdr:from>
    <xdr:to>
      <xdr:col>13</xdr:col>
      <xdr:colOff>631825</xdr:colOff>
      <xdr:row>110</xdr:row>
      <xdr:rowOff>180975</xdr:rowOff>
    </xdr:to>
    <xdr:graphicFrame macro="">
      <xdr:nvGraphicFramePr>
        <xdr:cNvPr id="22" name="Diagramm 21">
          <a:extLst>
            <a:ext uri="{FF2B5EF4-FFF2-40B4-BE49-F238E27FC236}">
              <a16:creationId xmlns:a16="http://schemas.microsoft.com/office/drawing/2014/main" id="{4717E2AA-FDBA-4236-AF8D-01122A0FD7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19050</xdr:colOff>
      <xdr:row>112</xdr:row>
      <xdr:rowOff>3175</xdr:rowOff>
    </xdr:from>
    <xdr:to>
      <xdr:col>6</xdr:col>
      <xdr:colOff>107950</xdr:colOff>
      <xdr:row>126</xdr:row>
      <xdr:rowOff>168275</xdr:rowOff>
    </xdr:to>
    <xdr:graphicFrame macro="">
      <xdr:nvGraphicFramePr>
        <xdr:cNvPr id="23" name="Diagramm 22">
          <a:extLst>
            <a:ext uri="{FF2B5EF4-FFF2-40B4-BE49-F238E27FC236}">
              <a16:creationId xmlns:a16="http://schemas.microsoft.com/office/drawing/2014/main" id="{96F19ABC-82CD-4B97-81D4-E38CDA4591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428625</xdr:colOff>
      <xdr:row>111</xdr:row>
      <xdr:rowOff>180975</xdr:rowOff>
    </xdr:from>
    <xdr:to>
      <xdr:col>13</xdr:col>
      <xdr:colOff>650875</xdr:colOff>
      <xdr:row>126</xdr:row>
      <xdr:rowOff>161925</xdr:rowOff>
    </xdr:to>
    <xdr:graphicFrame macro="">
      <xdr:nvGraphicFramePr>
        <xdr:cNvPr id="26" name="Diagramm 25">
          <a:extLst>
            <a:ext uri="{FF2B5EF4-FFF2-40B4-BE49-F238E27FC236}">
              <a16:creationId xmlns:a16="http://schemas.microsoft.com/office/drawing/2014/main" id="{F70D2361-939E-4303-898D-6EDB32B161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15874</xdr:colOff>
      <xdr:row>128</xdr:row>
      <xdr:rowOff>9525</xdr:rowOff>
    </xdr:from>
    <xdr:to>
      <xdr:col>6</xdr:col>
      <xdr:colOff>95249</xdr:colOff>
      <xdr:row>142</xdr:row>
      <xdr:rowOff>174625</xdr:rowOff>
    </xdr:to>
    <xdr:graphicFrame macro="">
      <xdr:nvGraphicFramePr>
        <xdr:cNvPr id="27" name="Diagramm 26">
          <a:extLst>
            <a:ext uri="{FF2B5EF4-FFF2-40B4-BE49-F238E27FC236}">
              <a16:creationId xmlns:a16="http://schemas.microsoft.com/office/drawing/2014/main" id="{C93B6991-7D5B-48EF-B14E-5417879BA4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25400</xdr:colOff>
      <xdr:row>128</xdr:row>
      <xdr:rowOff>38100</xdr:rowOff>
    </xdr:from>
    <xdr:to>
      <xdr:col>13</xdr:col>
      <xdr:colOff>647700</xdr:colOff>
      <xdr:row>143</xdr:row>
      <xdr:rowOff>19050</xdr:rowOff>
    </xdr:to>
    <xdr:graphicFrame macro="">
      <xdr:nvGraphicFramePr>
        <xdr:cNvPr id="9" name="Diagramm 8">
          <a:extLst>
            <a:ext uri="{FF2B5EF4-FFF2-40B4-BE49-F238E27FC236}">
              <a16:creationId xmlns:a16="http://schemas.microsoft.com/office/drawing/2014/main" id="{BA44B5EC-D592-4F85-88E2-1323D3BCE4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596280</xdr:colOff>
      <xdr:row>29</xdr:row>
      <xdr:rowOff>131646</xdr:rowOff>
    </xdr:from>
    <xdr:to>
      <xdr:col>12</xdr:col>
      <xdr:colOff>278780</xdr:colOff>
      <xdr:row>33</xdr:row>
      <xdr:rowOff>108415</xdr:rowOff>
    </xdr:to>
    <xdr:sp macro="" textlink="">
      <xdr:nvSpPr>
        <xdr:cNvPr id="2" name="Textfeld 1">
          <a:extLst>
            <a:ext uri="{FF2B5EF4-FFF2-40B4-BE49-F238E27FC236}">
              <a16:creationId xmlns:a16="http://schemas.microsoft.com/office/drawing/2014/main" id="{217B03FF-AED5-4F99-B114-BBDDE9D94A92}"/>
            </a:ext>
          </a:extLst>
        </xdr:cNvPr>
        <xdr:cNvSpPr txBox="1"/>
      </xdr:nvSpPr>
      <xdr:spPr>
        <a:xfrm>
          <a:off x="9006158" y="5087744"/>
          <a:ext cx="4235915" cy="6582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100"/>
            <a:t>In</a:t>
          </a:r>
          <a:r>
            <a:rPr lang="de-AT" sz="1100" baseline="0"/>
            <a:t> the data we provided in the download version, no seasonalities are expected. Enter your projections month over month such that the results in row 47 equal 100%.</a:t>
          </a:r>
          <a:endParaRPr lang="LID4096"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641350</xdr:colOff>
      <xdr:row>26</xdr:row>
      <xdr:rowOff>63500</xdr:rowOff>
    </xdr:from>
    <xdr:to>
      <xdr:col>8</xdr:col>
      <xdr:colOff>355600</xdr:colOff>
      <xdr:row>27</xdr:row>
      <xdr:rowOff>158750</xdr:rowOff>
    </xdr:to>
    <xdr:sp macro="" textlink="">
      <xdr:nvSpPr>
        <xdr:cNvPr id="2" name="Textfeld 1">
          <a:extLst>
            <a:ext uri="{FF2B5EF4-FFF2-40B4-BE49-F238E27FC236}">
              <a16:creationId xmlns:a16="http://schemas.microsoft.com/office/drawing/2014/main" id="{A2C40491-BE94-436A-B9D6-3DFD8B6C0BD7}"/>
            </a:ext>
          </a:extLst>
        </xdr:cNvPr>
        <xdr:cNvSpPr txBox="1"/>
      </xdr:nvSpPr>
      <xdr:spPr>
        <a:xfrm>
          <a:off x="5435600" y="4521200"/>
          <a:ext cx="29718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100"/>
            <a:t>Cells</a:t>
          </a:r>
          <a:r>
            <a:rPr lang="de-AT" sz="1100" baseline="0"/>
            <a:t> C18 and C39 must match.</a:t>
          </a:r>
          <a:endParaRPr lang="LID4096" sz="1100"/>
        </a:p>
      </xdr:txBody>
    </xdr:sp>
    <xdr:clientData/>
  </xdr:twoCellAnchor>
  <xdr:twoCellAnchor>
    <xdr:from>
      <xdr:col>2</xdr:col>
      <xdr:colOff>800100</xdr:colOff>
      <xdr:row>18</xdr:row>
      <xdr:rowOff>44450</xdr:rowOff>
    </xdr:from>
    <xdr:to>
      <xdr:col>4</xdr:col>
      <xdr:colOff>641350</xdr:colOff>
      <xdr:row>27</xdr:row>
      <xdr:rowOff>25400</xdr:rowOff>
    </xdr:to>
    <xdr:cxnSp macro="">
      <xdr:nvCxnSpPr>
        <xdr:cNvPr id="4" name="Gerade Verbindung mit Pfeil 3">
          <a:extLst>
            <a:ext uri="{FF2B5EF4-FFF2-40B4-BE49-F238E27FC236}">
              <a16:creationId xmlns:a16="http://schemas.microsoft.com/office/drawing/2014/main" id="{4F6C7095-1075-446A-885F-29EBE751360A}"/>
            </a:ext>
          </a:extLst>
        </xdr:cNvPr>
        <xdr:cNvCxnSpPr>
          <a:stCxn id="2" idx="1"/>
        </xdr:cNvCxnSpPr>
      </xdr:nvCxnSpPr>
      <xdr:spPr>
        <a:xfrm flipH="1" flipV="1">
          <a:off x="3841750" y="3130550"/>
          <a:ext cx="1593850" cy="1524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44450</xdr:colOff>
      <xdr:row>27</xdr:row>
      <xdr:rowOff>25400</xdr:rowOff>
    </xdr:from>
    <xdr:to>
      <xdr:col>4</xdr:col>
      <xdr:colOff>641350</xdr:colOff>
      <xdr:row>38</xdr:row>
      <xdr:rowOff>120650</xdr:rowOff>
    </xdr:to>
    <xdr:cxnSp macro="">
      <xdr:nvCxnSpPr>
        <xdr:cNvPr id="6" name="Gerade Verbindung mit Pfeil 5">
          <a:extLst>
            <a:ext uri="{FF2B5EF4-FFF2-40B4-BE49-F238E27FC236}">
              <a16:creationId xmlns:a16="http://schemas.microsoft.com/office/drawing/2014/main" id="{1B136DE1-DC77-47B3-A458-9B5AA256E850}"/>
            </a:ext>
          </a:extLst>
        </xdr:cNvPr>
        <xdr:cNvCxnSpPr>
          <a:stCxn id="2" idx="1"/>
        </xdr:cNvCxnSpPr>
      </xdr:nvCxnSpPr>
      <xdr:spPr>
        <a:xfrm flipH="1">
          <a:off x="4006850" y="4654550"/>
          <a:ext cx="1428750" cy="1981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768350</xdr:colOff>
      <xdr:row>67</xdr:row>
      <xdr:rowOff>19050</xdr:rowOff>
    </xdr:from>
    <xdr:to>
      <xdr:col>5</xdr:col>
      <xdr:colOff>971550</xdr:colOff>
      <xdr:row>71</xdr:row>
      <xdr:rowOff>44450</xdr:rowOff>
    </xdr:to>
    <xdr:sp macro="" textlink="">
      <xdr:nvSpPr>
        <xdr:cNvPr id="2" name="Textfeld 1">
          <a:extLst>
            <a:ext uri="{FF2B5EF4-FFF2-40B4-BE49-F238E27FC236}">
              <a16:creationId xmlns:a16="http://schemas.microsoft.com/office/drawing/2014/main" id="{4584B7CE-AEFB-4BDC-B736-A651BF17A67B}"/>
            </a:ext>
          </a:extLst>
        </xdr:cNvPr>
        <xdr:cNvSpPr txBox="1"/>
      </xdr:nvSpPr>
      <xdr:spPr>
        <a:xfrm>
          <a:off x="5200650" y="11550650"/>
          <a:ext cx="2495550" cy="711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100"/>
            <a:t>Insert</a:t>
          </a:r>
          <a:r>
            <a:rPr lang="de-AT" sz="1100" baseline="0"/>
            <a:t> Capital Investments for the 1st year month over month. Naturally, c</a:t>
          </a:r>
          <a:r>
            <a:rPr lang="de-AT" sz="1100"/>
            <a:t>ells</a:t>
          </a:r>
          <a:r>
            <a:rPr lang="de-AT" sz="1100" baseline="0"/>
            <a:t> C11 and C70 must match.</a:t>
          </a:r>
          <a:endParaRPr lang="LID4096"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2734029</xdr:colOff>
      <xdr:row>0</xdr:row>
      <xdr:rowOff>35278</xdr:rowOff>
    </xdr:from>
    <xdr:to>
      <xdr:col>8</xdr:col>
      <xdr:colOff>5881</xdr:colOff>
      <xdr:row>5</xdr:row>
      <xdr:rowOff>141111</xdr:rowOff>
    </xdr:to>
    <xdr:sp macro="" textlink="">
      <xdr:nvSpPr>
        <xdr:cNvPr id="2" name="Textfeld 1">
          <a:extLst>
            <a:ext uri="{FF2B5EF4-FFF2-40B4-BE49-F238E27FC236}">
              <a16:creationId xmlns:a16="http://schemas.microsoft.com/office/drawing/2014/main" id="{3E1FAAB8-71AF-4B54-A106-70A262C2D072}"/>
            </a:ext>
          </a:extLst>
        </xdr:cNvPr>
        <xdr:cNvSpPr txBox="1"/>
      </xdr:nvSpPr>
      <xdr:spPr>
        <a:xfrm>
          <a:off x="2734029" y="35278"/>
          <a:ext cx="5368102" cy="9583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100"/>
            <a:t>The longest times for payment you can allow and</a:t>
          </a:r>
          <a:r>
            <a:rPr lang="de-AT" sz="1100" baseline="0"/>
            <a:t> grant in this sheet are 120 days. If you want to choose longer periods you must change either the formulas in the relevant cells or your credit policy.</a:t>
          </a:r>
          <a:r>
            <a:rPr lang="de-AT" sz="1100"/>
            <a:t> </a:t>
          </a:r>
        </a:p>
        <a:p>
          <a:endParaRPr lang="de-AT" sz="1100"/>
        </a:p>
        <a:p>
          <a:r>
            <a:rPr lang="de-AT" sz="1100"/>
            <a:t>Inventory days must also</a:t>
          </a:r>
          <a:r>
            <a:rPr lang="de-AT" sz="1100" baseline="0"/>
            <a:t> not exceed 120 days unless the formulas are changed</a:t>
          </a:r>
          <a:endParaRPr lang="LID4096"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N4:N59"/>
  <sheetViews>
    <sheetView tabSelected="1" workbookViewId="0">
      <selection activeCell="M6" sqref="M6"/>
    </sheetView>
  </sheetViews>
  <sheetFormatPr baseColWidth="10" defaultRowHeight="14.5" x14ac:dyDescent="0.35"/>
  <cols>
    <col min="1" max="16384" width="10.90625" style="162"/>
  </cols>
  <sheetData>
    <row r="4" spans="14:14" x14ac:dyDescent="0.35">
      <c r="N4" s="161"/>
    </row>
    <row r="7" spans="14:14" x14ac:dyDescent="0.35">
      <c r="N7" s="161"/>
    </row>
    <row r="59" spans="14:14" x14ac:dyDescent="0.35">
      <c r="N59" s="161"/>
    </row>
  </sheetData>
  <sheetProtection sheet="1" objects="1" scenarios="1" selectLockedCells="1" selectUnlockedCells="1"/>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G22"/>
  <sheetViews>
    <sheetView zoomScale="74" zoomScaleNormal="74" workbookViewId="0">
      <selection activeCell="C9" sqref="C9"/>
    </sheetView>
  </sheetViews>
  <sheetFormatPr baseColWidth="10" defaultRowHeight="13.5" x14ac:dyDescent="0.3"/>
  <cols>
    <col min="1" max="1" width="26.453125" style="87" customWidth="1"/>
    <col min="2" max="2" width="10.90625" style="87"/>
    <col min="3" max="3" width="15.1796875" style="87" bestFit="1" customWidth="1"/>
    <col min="4" max="4" width="17.81640625" style="87" customWidth="1"/>
    <col min="5" max="5" width="17.6328125" style="87" customWidth="1"/>
    <col min="6" max="6" width="17" style="87" customWidth="1"/>
    <col min="7" max="7" width="18.90625" style="87" customWidth="1"/>
    <col min="8" max="16384" width="10.90625" style="87"/>
  </cols>
  <sheetData>
    <row r="3" spans="1:7" x14ac:dyDescent="0.3">
      <c r="A3" s="86" t="s">
        <v>147</v>
      </c>
      <c r="C3" s="88"/>
      <c r="D3" s="88"/>
      <c r="E3" s="88" t="s">
        <v>1</v>
      </c>
      <c r="F3" s="88"/>
      <c r="G3" s="88"/>
    </row>
    <row r="4" spans="1:7" x14ac:dyDescent="0.3">
      <c r="C4" s="88">
        <v>1</v>
      </c>
      <c r="D4" s="88">
        <v>2</v>
      </c>
      <c r="E4" s="88">
        <v>3</v>
      </c>
      <c r="F4" s="88">
        <v>4</v>
      </c>
      <c r="G4" s="88">
        <v>5</v>
      </c>
    </row>
    <row r="6" spans="1:7" x14ac:dyDescent="0.3">
      <c r="A6" s="42" t="s">
        <v>148</v>
      </c>
      <c r="B6" s="42"/>
      <c r="C6" s="27">
        <f>REVENUE!B25</f>
        <v>2990000</v>
      </c>
      <c r="D6" s="27">
        <f>REVENUE!C25</f>
        <v>4605000</v>
      </c>
      <c r="E6" s="27">
        <f>REVENUE!D25</f>
        <v>11570000</v>
      </c>
      <c r="F6" s="27">
        <f>REVENUE!E25</f>
        <v>25375000</v>
      </c>
      <c r="G6" s="27">
        <f>REVENUE!F25</f>
        <v>47600000</v>
      </c>
    </row>
    <row r="8" spans="1:7" x14ac:dyDescent="0.3">
      <c r="A8" s="87" t="s">
        <v>152</v>
      </c>
      <c r="C8" s="96">
        <v>0.25</v>
      </c>
      <c r="D8" s="96">
        <v>0.25</v>
      </c>
      <c r="E8" s="96">
        <v>0.25</v>
      </c>
      <c r="F8" s="96">
        <v>0.25</v>
      </c>
      <c r="G8" s="96">
        <v>0.25</v>
      </c>
    </row>
    <row r="10" spans="1:7" x14ac:dyDescent="0.3">
      <c r="A10" s="42" t="s">
        <v>149</v>
      </c>
      <c r="B10" s="42"/>
      <c r="C10" s="39">
        <f>PL!C27</f>
        <v>270657.14285714272</v>
      </c>
      <c r="D10" s="39">
        <f>PL!D27</f>
        <v>435054.28571428545</v>
      </c>
      <c r="E10" s="39">
        <f>PL!E27</f>
        <v>3459054.2857142854</v>
      </c>
      <c r="F10" s="39">
        <f>PL!F27</f>
        <v>10505611.428571429</v>
      </c>
      <c r="G10" s="39">
        <f>PL!G27</f>
        <v>22075368.571428567</v>
      </c>
    </row>
    <row r="11" spans="1:7" x14ac:dyDescent="0.3">
      <c r="A11" s="65" t="s">
        <v>150</v>
      </c>
      <c r="B11" s="42"/>
      <c r="C11" s="33">
        <f>D10</f>
        <v>435054.28571428545</v>
      </c>
      <c r="D11" s="33">
        <f>C11+D10</f>
        <v>870108.5714285709</v>
      </c>
      <c r="E11" s="33">
        <f t="shared" ref="E11:G11" si="0">D11+E10</f>
        <v>4329162.8571428563</v>
      </c>
      <c r="F11" s="33">
        <f t="shared" si="0"/>
        <v>14834774.285714285</v>
      </c>
      <c r="G11" s="33">
        <f t="shared" si="0"/>
        <v>36910142.857142851</v>
      </c>
    </row>
    <row r="12" spans="1:7" x14ac:dyDescent="0.3">
      <c r="A12" s="42"/>
      <c r="B12" s="42"/>
      <c r="C12" s="33"/>
      <c r="D12" s="33"/>
      <c r="E12" s="33"/>
      <c r="F12" s="33"/>
      <c r="G12" s="33"/>
    </row>
    <row r="13" spans="1:7" x14ac:dyDescent="0.3">
      <c r="A13" s="42" t="s">
        <v>151</v>
      </c>
      <c r="B13" s="42"/>
      <c r="C13" s="33">
        <f>-IF(C11&gt;=0,C8*MIN(C10,C11),0)</f>
        <v>-67664.285714285681</v>
      </c>
      <c r="D13" s="33">
        <f t="shared" ref="D13:G13" si="1">-IF(D11&gt;=0,D8*MIN(D10,D11),0)</f>
        <v>-108763.57142857136</v>
      </c>
      <c r="E13" s="33">
        <f t="shared" si="1"/>
        <v>-864763.57142857136</v>
      </c>
      <c r="F13" s="33">
        <f t="shared" si="1"/>
        <v>-2626402.8571428573</v>
      </c>
      <c r="G13" s="33">
        <f t="shared" si="1"/>
        <v>-5518842.1428571418</v>
      </c>
    </row>
    <row r="14" spans="1:7" x14ac:dyDescent="0.3">
      <c r="A14" s="79" t="s">
        <v>31</v>
      </c>
      <c r="B14" s="42"/>
      <c r="C14" s="93">
        <f>C13/C6</f>
        <v>-2.2630195891065446E-2</v>
      </c>
      <c r="D14" s="93">
        <f t="shared" ref="D14:G14" si="2">D13/D6</f>
        <v>-2.3618582286334715E-2</v>
      </c>
      <c r="E14" s="93">
        <f t="shared" si="2"/>
        <v>-7.4741881713791827E-2</v>
      </c>
      <c r="F14" s="93">
        <f t="shared" si="2"/>
        <v>-0.10350356087262491</v>
      </c>
      <c r="G14" s="93">
        <f t="shared" si="2"/>
        <v>-0.11594206182472987</v>
      </c>
    </row>
    <row r="15" spans="1:7" x14ac:dyDescent="0.3">
      <c r="C15" s="91"/>
      <c r="D15" s="91"/>
      <c r="E15" s="91"/>
      <c r="F15" s="91"/>
      <c r="G15" s="91"/>
    </row>
    <row r="22" spans="6:6" x14ac:dyDescent="0.3">
      <c r="F22" s="42"/>
    </row>
  </sheetData>
  <sheetProtection algorithmName="SHA-512" hashValue="6SC3XcuCv8NrAuLnZW8w95KWjPPhBLFFV/5P44QFBKVTOOakh/LbpXjgMxc2mlt3FurDnhZSBEMJKTKhA+0Nwg==" saltValue="l7WzB6BxgHeYTk9VLhTlFA==" spinCount="100000" sheet="1" objects="1" scenarios="1"/>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G59"/>
  <sheetViews>
    <sheetView zoomScale="75" zoomScaleNormal="75" workbookViewId="0">
      <selection activeCell="J19" sqref="J19"/>
    </sheetView>
  </sheetViews>
  <sheetFormatPr baseColWidth="10" defaultRowHeight="13.5" x14ac:dyDescent="0.3"/>
  <cols>
    <col min="1" max="1" width="47.26953125" style="42" customWidth="1"/>
    <col min="2" max="2" width="18.36328125" style="42" customWidth="1"/>
    <col min="3" max="3" width="18.1796875" style="42" customWidth="1"/>
    <col min="4" max="4" width="19.7265625" style="42" customWidth="1"/>
    <col min="5" max="5" width="20.453125" style="42" customWidth="1"/>
    <col min="6" max="6" width="19.54296875" style="42" customWidth="1"/>
    <col min="7" max="7" width="19.1796875" style="42" customWidth="1"/>
    <col min="8" max="16384" width="10.90625" style="42"/>
  </cols>
  <sheetData>
    <row r="3" spans="1:7" x14ac:dyDescent="0.3">
      <c r="A3" s="45" t="s">
        <v>153</v>
      </c>
      <c r="B3" s="25" t="s">
        <v>155</v>
      </c>
      <c r="C3" s="26"/>
      <c r="D3" s="26"/>
      <c r="E3" s="26" t="s">
        <v>1</v>
      </c>
      <c r="F3" s="26"/>
      <c r="G3" s="26"/>
    </row>
    <row r="4" spans="1:7" x14ac:dyDescent="0.3">
      <c r="B4" s="74" t="s">
        <v>154</v>
      </c>
      <c r="C4" s="26">
        <v>1</v>
      </c>
      <c r="D4" s="26">
        <v>2</v>
      </c>
      <c r="E4" s="26">
        <v>3</v>
      </c>
      <c r="F4" s="26">
        <v>4</v>
      </c>
      <c r="G4" s="26">
        <v>5</v>
      </c>
    </row>
    <row r="5" spans="1:7" x14ac:dyDescent="0.3">
      <c r="A5" s="45" t="s">
        <v>156</v>
      </c>
      <c r="B5" s="75">
        <v>1200000</v>
      </c>
      <c r="C5" s="46"/>
      <c r="D5" s="46"/>
      <c r="E5" s="46"/>
      <c r="F5" s="46"/>
      <c r="G5" s="46"/>
    </row>
    <row r="6" spans="1:7" x14ac:dyDescent="0.3">
      <c r="A6" s="45" t="s">
        <v>157</v>
      </c>
      <c r="B6" s="46"/>
      <c r="C6" s="46"/>
      <c r="D6" s="46"/>
      <c r="E6" s="46"/>
      <c r="F6" s="46"/>
      <c r="G6" s="46"/>
    </row>
    <row r="7" spans="1:7" x14ac:dyDescent="0.3">
      <c r="A7" s="54" t="s">
        <v>158</v>
      </c>
      <c r="B7" s="46"/>
      <c r="C7" s="46"/>
      <c r="D7" s="46"/>
      <c r="E7" s="46"/>
      <c r="F7" s="46"/>
      <c r="G7" s="46"/>
    </row>
    <row r="8" spans="1:7" x14ac:dyDescent="0.3">
      <c r="A8" s="65" t="s">
        <v>165</v>
      </c>
      <c r="B8" s="75">
        <v>500000</v>
      </c>
      <c r="C8" s="75">
        <v>500000</v>
      </c>
      <c r="D8" s="75">
        <v>500000</v>
      </c>
      <c r="E8" s="75">
        <v>500000</v>
      </c>
      <c r="F8" s="75">
        <v>500000</v>
      </c>
      <c r="G8" s="75">
        <v>500000</v>
      </c>
    </row>
    <row r="9" spans="1:7" x14ac:dyDescent="0.3">
      <c r="A9" s="65" t="s">
        <v>166</v>
      </c>
      <c r="B9" s="75">
        <v>200000</v>
      </c>
      <c r="C9" s="75">
        <v>200000</v>
      </c>
      <c r="D9" s="75">
        <v>200000</v>
      </c>
      <c r="E9" s="75">
        <v>200000</v>
      </c>
      <c r="F9" s="75">
        <v>200000</v>
      </c>
      <c r="G9" s="75">
        <v>200000</v>
      </c>
    </row>
    <row r="10" spans="1:7" x14ac:dyDescent="0.3">
      <c r="A10" s="64" t="s">
        <v>162</v>
      </c>
      <c r="B10" s="35">
        <f>SUM(B8:B9)</f>
        <v>700000</v>
      </c>
      <c r="C10" s="35">
        <f t="shared" ref="C10:G10" si="0">SUM(C8:C9)</f>
        <v>700000</v>
      </c>
      <c r="D10" s="35">
        <f t="shared" si="0"/>
        <v>700000</v>
      </c>
      <c r="E10" s="35">
        <f t="shared" si="0"/>
        <v>700000</v>
      </c>
      <c r="F10" s="35">
        <f t="shared" si="0"/>
        <v>700000</v>
      </c>
      <c r="G10" s="35">
        <f t="shared" si="0"/>
        <v>700000</v>
      </c>
    </row>
    <row r="11" spans="1:7" x14ac:dyDescent="0.3">
      <c r="A11" s="76" t="s">
        <v>144</v>
      </c>
      <c r="B11" s="33"/>
      <c r="C11" s="33">
        <f>C10-B10</f>
        <v>0</v>
      </c>
      <c r="D11" s="33">
        <f t="shared" ref="D11:G11" si="1">D10-C10</f>
        <v>0</v>
      </c>
      <c r="E11" s="33">
        <f t="shared" si="1"/>
        <v>0</v>
      </c>
      <c r="F11" s="33">
        <f t="shared" si="1"/>
        <v>0</v>
      </c>
      <c r="G11" s="33">
        <f t="shared" si="1"/>
        <v>0</v>
      </c>
    </row>
    <row r="12" spans="1:7" x14ac:dyDescent="0.3">
      <c r="A12" s="76"/>
      <c r="B12" s="46"/>
      <c r="C12" s="46"/>
      <c r="D12" s="46"/>
      <c r="E12" s="46"/>
      <c r="F12" s="46"/>
      <c r="G12" s="46"/>
    </row>
    <row r="13" spans="1:7" x14ac:dyDescent="0.3">
      <c r="A13" s="54" t="s">
        <v>159</v>
      </c>
      <c r="B13" s="46"/>
      <c r="C13" s="46"/>
      <c r="D13" s="46"/>
      <c r="E13" s="46"/>
      <c r="F13" s="46"/>
      <c r="G13" s="46"/>
    </row>
    <row r="14" spans="1:7" x14ac:dyDescent="0.3">
      <c r="A14" s="65" t="s">
        <v>163</v>
      </c>
      <c r="B14" s="75">
        <v>500000</v>
      </c>
      <c r="C14" s="75">
        <v>1000000</v>
      </c>
      <c r="D14" s="75">
        <v>1000000</v>
      </c>
      <c r="E14" s="75">
        <v>1000000</v>
      </c>
      <c r="F14" s="75">
        <v>1000000</v>
      </c>
      <c r="G14" s="75">
        <v>1000000</v>
      </c>
    </row>
    <row r="15" spans="1:7" x14ac:dyDescent="0.3">
      <c r="A15" s="65" t="s">
        <v>164</v>
      </c>
      <c r="B15" s="75"/>
      <c r="C15" s="75"/>
      <c r="D15" s="75"/>
      <c r="E15" s="75"/>
      <c r="F15" s="75">
        <v>500000</v>
      </c>
      <c r="G15" s="75">
        <v>500000</v>
      </c>
    </row>
    <row r="16" spans="1:7" x14ac:dyDescent="0.3">
      <c r="A16" s="64" t="s">
        <v>320</v>
      </c>
      <c r="B16" s="35">
        <f>SUM(B14:B15)</f>
        <v>500000</v>
      </c>
      <c r="C16" s="35">
        <f t="shared" ref="C16:G16" si="2">SUM(C14:C15)</f>
        <v>1000000</v>
      </c>
      <c r="D16" s="35">
        <f t="shared" si="2"/>
        <v>1000000</v>
      </c>
      <c r="E16" s="35">
        <f t="shared" si="2"/>
        <v>1000000</v>
      </c>
      <c r="F16" s="35">
        <f t="shared" si="2"/>
        <v>1500000</v>
      </c>
      <c r="G16" s="35">
        <f t="shared" si="2"/>
        <v>1500000</v>
      </c>
    </row>
    <row r="17" spans="1:7" x14ac:dyDescent="0.3">
      <c r="A17" s="65" t="s">
        <v>144</v>
      </c>
      <c r="B17" s="33"/>
      <c r="C17" s="33">
        <f>C16-B16</f>
        <v>500000</v>
      </c>
      <c r="D17" s="33">
        <f t="shared" ref="D17:G17" si="3">D16-C16</f>
        <v>0</v>
      </c>
      <c r="E17" s="33">
        <f t="shared" si="3"/>
        <v>0</v>
      </c>
      <c r="F17" s="33">
        <f t="shared" si="3"/>
        <v>500000</v>
      </c>
      <c r="G17" s="33">
        <f t="shared" si="3"/>
        <v>0</v>
      </c>
    </row>
    <row r="18" spans="1:7" x14ac:dyDescent="0.3">
      <c r="B18" s="33"/>
      <c r="C18" s="33"/>
      <c r="D18" s="33"/>
      <c r="E18" s="33"/>
      <c r="F18" s="33"/>
      <c r="G18" s="33"/>
    </row>
    <row r="19" spans="1:7" x14ac:dyDescent="0.3">
      <c r="A19" s="45" t="s">
        <v>160</v>
      </c>
      <c r="B19" s="77">
        <f>B10+B16</f>
        <v>1200000</v>
      </c>
      <c r="C19" s="77">
        <f t="shared" ref="C19:G19" si="4">C10+C16</f>
        <v>1700000</v>
      </c>
      <c r="D19" s="77">
        <f t="shared" si="4"/>
        <v>1700000</v>
      </c>
      <c r="E19" s="77">
        <f t="shared" si="4"/>
        <v>1700000</v>
      </c>
      <c r="F19" s="77">
        <f t="shared" si="4"/>
        <v>2200000</v>
      </c>
      <c r="G19" s="77">
        <f t="shared" si="4"/>
        <v>2200000</v>
      </c>
    </row>
    <row r="20" spans="1:7" x14ac:dyDescent="0.3">
      <c r="A20" s="45"/>
      <c r="B20" s="78"/>
      <c r="C20" s="78"/>
      <c r="D20" s="78"/>
      <c r="E20" s="78"/>
      <c r="F20" s="78"/>
      <c r="G20" s="78"/>
    </row>
    <row r="22" spans="1:7" x14ac:dyDescent="0.3">
      <c r="A22" s="45" t="s">
        <v>161</v>
      </c>
    </row>
    <row r="23" spans="1:7" x14ac:dyDescent="0.3">
      <c r="A23" s="42" t="s">
        <v>168</v>
      </c>
      <c r="B23" s="75"/>
      <c r="C23" s="75"/>
      <c r="D23" s="75"/>
      <c r="E23" s="75"/>
      <c r="F23" s="75">
        <v>100000</v>
      </c>
      <c r="G23" s="75"/>
    </row>
    <row r="24" spans="1:7" x14ac:dyDescent="0.3">
      <c r="A24" s="79" t="s">
        <v>144</v>
      </c>
      <c r="B24" s="80"/>
      <c r="C24" s="80">
        <f>C23-B23</f>
        <v>0</v>
      </c>
      <c r="D24" s="80">
        <f t="shared" ref="D24:G24" si="5">D23-C23</f>
        <v>0</v>
      </c>
      <c r="E24" s="80">
        <f t="shared" si="5"/>
        <v>0</v>
      </c>
      <c r="F24" s="80">
        <f t="shared" si="5"/>
        <v>100000</v>
      </c>
      <c r="G24" s="80">
        <f t="shared" si="5"/>
        <v>-100000</v>
      </c>
    </row>
    <row r="25" spans="1:7" x14ac:dyDescent="0.3">
      <c r="B25" s="46"/>
      <c r="C25" s="46"/>
      <c r="D25" s="46"/>
      <c r="E25" s="46"/>
      <c r="F25" s="46"/>
      <c r="G25" s="46"/>
    </row>
    <row r="26" spans="1:7" x14ac:dyDescent="0.3">
      <c r="A26" s="42" t="s">
        <v>167</v>
      </c>
      <c r="B26" s="46"/>
      <c r="C26" s="46"/>
      <c r="D26" s="46"/>
      <c r="E26" s="46"/>
      <c r="F26" s="46"/>
      <c r="G26" s="46"/>
    </row>
    <row r="27" spans="1:7" x14ac:dyDescent="0.3">
      <c r="A27" s="54" t="s">
        <v>169</v>
      </c>
      <c r="B27" s="75"/>
      <c r="C27" s="75">
        <v>50000</v>
      </c>
      <c r="D27" s="75">
        <v>100000</v>
      </c>
      <c r="E27" s="75">
        <v>100000</v>
      </c>
      <c r="F27" s="75">
        <v>100000</v>
      </c>
      <c r="G27" s="75">
        <v>100000</v>
      </c>
    </row>
    <row r="28" spans="1:7" x14ac:dyDescent="0.3">
      <c r="A28" s="79" t="s">
        <v>144</v>
      </c>
      <c r="B28" s="81"/>
      <c r="C28" s="80">
        <f>C27-B27</f>
        <v>50000</v>
      </c>
      <c r="D28" s="80">
        <f t="shared" ref="D28:G28" si="6">D27-C27</f>
        <v>50000</v>
      </c>
      <c r="E28" s="80">
        <f t="shared" si="6"/>
        <v>0</v>
      </c>
      <c r="F28" s="80">
        <f t="shared" si="6"/>
        <v>0</v>
      </c>
      <c r="G28" s="80">
        <f t="shared" si="6"/>
        <v>0</v>
      </c>
    </row>
    <row r="29" spans="1:7" x14ac:dyDescent="0.3">
      <c r="A29" s="79"/>
      <c r="B29" s="81"/>
      <c r="C29" s="81"/>
      <c r="D29" s="81"/>
      <c r="E29" s="81"/>
      <c r="F29" s="81"/>
      <c r="G29" s="81"/>
    </row>
    <row r="30" spans="1:7" x14ac:dyDescent="0.3">
      <c r="A30" s="54" t="s">
        <v>170</v>
      </c>
      <c r="B30" s="75"/>
      <c r="C30" s="75"/>
      <c r="D30" s="75">
        <v>400000</v>
      </c>
      <c r="E30" s="75">
        <v>300000</v>
      </c>
      <c r="F30" s="75">
        <v>200000</v>
      </c>
      <c r="G30" s="75">
        <v>100000</v>
      </c>
    </row>
    <row r="31" spans="1:7" x14ac:dyDescent="0.3">
      <c r="A31" s="79" t="s">
        <v>144</v>
      </c>
      <c r="B31" s="81"/>
      <c r="C31" s="80">
        <f>C30-B30</f>
        <v>0</v>
      </c>
      <c r="D31" s="80">
        <f t="shared" ref="D31:G31" si="7">D30-C30</f>
        <v>400000</v>
      </c>
      <c r="E31" s="80">
        <f t="shared" si="7"/>
        <v>-100000</v>
      </c>
      <c r="F31" s="80">
        <f t="shared" si="7"/>
        <v>-100000</v>
      </c>
      <c r="G31" s="80">
        <f t="shared" si="7"/>
        <v>-100000</v>
      </c>
    </row>
    <row r="32" spans="1:7" x14ac:dyDescent="0.3">
      <c r="A32" s="79"/>
      <c r="B32" s="81"/>
      <c r="C32" s="81"/>
      <c r="D32" s="81"/>
      <c r="E32" s="81"/>
      <c r="F32" s="81"/>
      <c r="G32" s="81"/>
    </row>
    <row r="33" spans="1:7" x14ac:dyDescent="0.3">
      <c r="A33" s="42" t="s">
        <v>171</v>
      </c>
      <c r="B33" s="35">
        <f>SUM(B27,B30)</f>
        <v>0</v>
      </c>
      <c r="C33" s="35">
        <f t="shared" ref="C33:G33" si="8">SUM(C27,C30)</f>
        <v>50000</v>
      </c>
      <c r="D33" s="35">
        <f t="shared" si="8"/>
        <v>500000</v>
      </c>
      <c r="E33" s="35">
        <f t="shared" si="8"/>
        <v>400000</v>
      </c>
      <c r="F33" s="35">
        <f>SUM(F23,F30)</f>
        <v>300000</v>
      </c>
      <c r="G33" s="35">
        <f t="shared" si="8"/>
        <v>200000</v>
      </c>
    </row>
    <row r="34" spans="1:7" x14ac:dyDescent="0.3">
      <c r="A34" s="79" t="s">
        <v>144</v>
      </c>
      <c r="B34" s="33"/>
      <c r="C34" s="33">
        <f>SUM(C28,C31)</f>
        <v>50000</v>
      </c>
      <c r="D34" s="33">
        <f t="shared" ref="D34:G34" si="9">SUM(D28,D31)</f>
        <v>450000</v>
      </c>
      <c r="E34" s="33">
        <f t="shared" si="9"/>
        <v>-100000</v>
      </c>
      <c r="F34" s="33">
        <f t="shared" si="9"/>
        <v>-100000</v>
      </c>
      <c r="G34" s="33">
        <f t="shared" si="9"/>
        <v>-100000</v>
      </c>
    </row>
    <row r="35" spans="1:7" x14ac:dyDescent="0.3">
      <c r="B35" s="33"/>
      <c r="C35" s="33"/>
      <c r="D35" s="33"/>
      <c r="E35" s="33"/>
      <c r="F35" s="33"/>
      <c r="G35" s="33"/>
    </row>
    <row r="36" spans="1:7" ht="14" thickBot="1" x14ac:dyDescent="0.35">
      <c r="A36" s="45" t="s">
        <v>172</v>
      </c>
      <c r="B36" s="82">
        <f>SUM(B19,B23,B27)</f>
        <v>1200000</v>
      </c>
      <c r="C36" s="82">
        <f t="shared" ref="C36:G36" si="10">SUM(C19,C23,C27)</f>
        <v>1750000</v>
      </c>
      <c r="D36" s="82">
        <f t="shared" si="10"/>
        <v>1800000</v>
      </c>
      <c r="E36" s="82">
        <f t="shared" si="10"/>
        <v>1800000</v>
      </c>
      <c r="F36" s="82">
        <f t="shared" si="10"/>
        <v>2400000</v>
      </c>
      <c r="G36" s="82">
        <f t="shared" si="10"/>
        <v>2300000</v>
      </c>
    </row>
    <row r="37" spans="1:7" ht="14" thickTop="1" x14ac:dyDescent="0.3"/>
    <row r="39" spans="1:7" x14ac:dyDescent="0.3">
      <c r="C39" s="26"/>
      <c r="D39" s="26"/>
      <c r="E39" s="26" t="s">
        <v>1</v>
      </c>
      <c r="F39" s="26"/>
      <c r="G39" s="26"/>
    </row>
    <row r="40" spans="1:7" x14ac:dyDescent="0.3">
      <c r="C40" s="26">
        <v>1</v>
      </c>
      <c r="D40" s="26">
        <v>2</v>
      </c>
      <c r="E40" s="26">
        <v>3</v>
      </c>
      <c r="F40" s="26">
        <v>4</v>
      </c>
      <c r="G40" s="26">
        <v>5</v>
      </c>
    </row>
    <row r="41" spans="1:7" x14ac:dyDescent="0.3">
      <c r="A41" s="42" t="s">
        <v>173</v>
      </c>
    </row>
    <row r="42" spans="1:7" x14ac:dyDescent="0.3">
      <c r="A42" s="65" t="s">
        <v>174</v>
      </c>
      <c r="B42" s="83"/>
      <c r="C42" s="84">
        <v>0.09</v>
      </c>
      <c r="D42" s="84">
        <v>0.09</v>
      </c>
      <c r="E42" s="84">
        <v>0.09</v>
      </c>
      <c r="F42" s="84">
        <v>0.09</v>
      </c>
      <c r="G42" s="84">
        <v>0.09</v>
      </c>
    </row>
    <row r="43" spans="1:7" x14ac:dyDescent="0.3">
      <c r="A43" s="65" t="s">
        <v>175</v>
      </c>
      <c r="B43" s="83"/>
      <c r="C43" s="84">
        <v>0.12</v>
      </c>
      <c r="D43" s="84">
        <v>0.12</v>
      </c>
      <c r="E43" s="84">
        <v>0.12</v>
      </c>
      <c r="F43" s="84">
        <v>0.12</v>
      </c>
      <c r="G43" s="84">
        <v>0.12</v>
      </c>
    </row>
    <row r="45" spans="1:7" x14ac:dyDescent="0.3">
      <c r="A45" s="42" t="s">
        <v>176</v>
      </c>
    </row>
    <row r="46" spans="1:7" x14ac:dyDescent="0.3">
      <c r="A46" s="65" t="s">
        <v>174</v>
      </c>
      <c r="C46" s="33">
        <f>C23*C42</f>
        <v>0</v>
      </c>
      <c r="D46" s="33">
        <f t="shared" ref="D46:G46" si="11">D23*D42</f>
        <v>0</v>
      </c>
      <c r="E46" s="33">
        <f t="shared" si="11"/>
        <v>0</v>
      </c>
      <c r="F46" s="33">
        <f t="shared" si="11"/>
        <v>9000</v>
      </c>
      <c r="G46" s="33">
        <f t="shared" si="11"/>
        <v>0</v>
      </c>
    </row>
    <row r="47" spans="1:7" x14ac:dyDescent="0.3">
      <c r="A47" s="65" t="s">
        <v>175</v>
      </c>
      <c r="C47" s="33">
        <f>C33*C43</f>
        <v>6000</v>
      </c>
      <c r="D47" s="33">
        <f t="shared" ref="D47:G47" si="12">D33*D43</f>
        <v>60000</v>
      </c>
      <c r="E47" s="33">
        <f t="shared" si="12"/>
        <v>48000</v>
      </c>
      <c r="F47" s="33">
        <f t="shared" si="12"/>
        <v>36000</v>
      </c>
      <c r="G47" s="33">
        <f t="shared" si="12"/>
        <v>24000</v>
      </c>
    </row>
    <row r="48" spans="1:7" x14ac:dyDescent="0.3">
      <c r="A48" s="45" t="s">
        <v>177</v>
      </c>
      <c r="B48" s="27"/>
      <c r="C48" s="33">
        <f>SUM(C46:C47)</f>
        <v>6000</v>
      </c>
      <c r="D48" s="33">
        <f t="shared" ref="D48:G48" si="13">SUM(D46:D47)</f>
        <v>60000</v>
      </c>
      <c r="E48" s="33">
        <f t="shared" si="13"/>
        <v>48000</v>
      </c>
      <c r="F48" s="33">
        <f t="shared" si="13"/>
        <v>45000</v>
      </c>
      <c r="G48" s="33">
        <f t="shared" si="13"/>
        <v>24000</v>
      </c>
    </row>
    <row r="50" spans="1:7" x14ac:dyDescent="0.3">
      <c r="A50" s="42" t="s">
        <v>178</v>
      </c>
    </row>
    <row r="51" spans="1:7" x14ac:dyDescent="0.3">
      <c r="A51" s="65" t="s">
        <v>179</v>
      </c>
      <c r="C51" s="84">
        <v>0.01</v>
      </c>
      <c r="D51" s="84">
        <v>0.01</v>
      </c>
      <c r="E51" s="84">
        <v>0.01</v>
      </c>
      <c r="F51" s="84">
        <v>0.01</v>
      </c>
      <c r="G51" s="84">
        <v>0.01</v>
      </c>
    </row>
    <row r="52" spans="1:7" x14ac:dyDescent="0.3">
      <c r="A52" s="65" t="s">
        <v>178</v>
      </c>
      <c r="C52" s="75">
        <v>0</v>
      </c>
      <c r="D52" s="75">
        <v>0</v>
      </c>
      <c r="E52" s="75">
        <v>0</v>
      </c>
      <c r="F52" s="75">
        <v>0</v>
      </c>
      <c r="G52" s="75">
        <v>10000</v>
      </c>
    </row>
    <row r="54" spans="1:7" x14ac:dyDescent="0.3">
      <c r="A54" s="45" t="s">
        <v>180</v>
      </c>
    </row>
    <row r="55" spans="1:7" x14ac:dyDescent="0.3">
      <c r="A55" s="54" t="s">
        <v>193</v>
      </c>
      <c r="B55" s="85"/>
      <c r="C55" s="39">
        <f>PL!C31</f>
        <v>202992.85714285704</v>
      </c>
      <c r="D55" s="39">
        <f>PL!D31</f>
        <v>326290.71428571409</v>
      </c>
      <c r="E55" s="39">
        <f>PL!E31</f>
        <v>2594290.7142857141</v>
      </c>
      <c r="F55" s="39">
        <f>PL!F31</f>
        <v>7879208.5714285718</v>
      </c>
      <c r="G55" s="39">
        <f>PL!G31</f>
        <v>16556526.428571425</v>
      </c>
    </row>
    <row r="56" spans="1:7" x14ac:dyDescent="0.3">
      <c r="A56" s="54" t="s">
        <v>181</v>
      </c>
      <c r="C56" s="75">
        <v>0</v>
      </c>
      <c r="D56" s="75">
        <v>0</v>
      </c>
      <c r="E56" s="75">
        <v>0</v>
      </c>
      <c r="F56" s="75">
        <v>0</v>
      </c>
      <c r="G56" s="75">
        <v>50000</v>
      </c>
    </row>
    <row r="57" spans="1:7" x14ac:dyDescent="0.3">
      <c r="A57" s="79" t="s">
        <v>182</v>
      </c>
      <c r="C57" s="33">
        <f>C55-C56</f>
        <v>202992.85714285704</v>
      </c>
      <c r="D57" s="33">
        <f t="shared" ref="D57:G57" si="14">D55-D56</f>
        <v>326290.71428571409</v>
      </c>
      <c r="E57" s="33">
        <f t="shared" si="14"/>
        <v>2594290.7142857141</v>
      </c>
      <c r="F57" s="33">
        <f t="shared" si="14"/>
        <v>7879208.5714285718</v>
      </c>
      <c r="G57" s="33">
        <f t="shared" si="14"/>
        <v>16506526.428571425</v>
      </c>
    </row>
    <row r="58" spans="1:7" x14ac:dyDescent="0.3">
      <c r="A58" s="54" t="s">
        <v>183</v>
      </c>
      <c r="C58" s="33"/>
      <c r="D58" s="33">
        <f>C59</f>
        <v>202992.85714285704</v>
      </c>
      <c r="E58" s="33">
        <f t="shared" ref="E58:G58" si="15">D59</f>
        <v>529283.57142857113</v>
      </c>
      <c r="F58" s="33">
        <f t="shared" si="15"/>
        <v>3123574.2857142854</v>
      </c>
      <c r="G58" s="33">
        <f t="shared" si="15"/>
        <v>11002782.857142858</v>
      </c>
    </row>
    <row r="59" spans="1:7" x14ac:dyDescent="0.3">
      <c r="A59" s="54" t="s">
        <v>184</v>
      </c>
      <c r="C59" s="33">
        <f>SUM(C57:C58)</f>
        <v>202992.85714285704</v>
      </c>
      <c r="D59" s="33">
        <f t="shared" ref="D59:G59" si="16">SUM(D57:D58)</f>
        <v>529283.57142857113</v>
      </c>
      <c r="E59" s="33">
        <f t="shared" si="16"/>
        <v>3123574.2857142854</v>
      </c>
      <c r="F59" s="33">
        <f t="shared" si="16"/>
        <v>11002782.857142858</v>
      </c>
      <c r="G59" s="33">
        <f t="shared" si="16"/>
        <v>27509309.285714284</v>
      </c>
    </row>
  </sheetData>
  <pageMargins left="0.7" right="0.7" top="0.78740157499999996" bottom="0.78740157499999996" header="0.3" footer="0.3"/>
  <pageSetup paperSize="9" orientation="portrait" r:id="rId1"/>
  <ignoredErrors>
    <ignoredError sqref="F33"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5:G32"/>
  <sheetViews>
    <sheetView topLeftCell="A7" zoomScale="75" zoomScaleNormal="75" workbookViewId="0">
      <selection activeCell="A17" sqref="A17"/>
    </sheetView>
  </sheetViews>
  <sheetFormatPr baseColWidth="10" defaultRowHeight="13.5" x14ac:dyDescent="0.3"/>
  <cols>
    <col min="1" max="1" width="34.36328125" style="27" customWidth="1"/>
    <col min="2" max="2" width="10.90625" style="27"/>
    <col min="3" max="3" width="17" style="27" customWidth="1"/>
    <col min="4" max="4" width="16.7265625" style="27" customWidth="1"/>
    <col min="5" max="5" width="20.1796875" style="27" customWidth="1"/>
    <col min="6" max="6" width="17.54296875" style="27" customWidth="1"/>
    <col min="7" max="7" width="18.81640625" style="27" customWidth="1"/>
    <col min="8" max="16384" width="10.90625" style="27"/>
  </cols>
  <sheetData>
    <row r="5" spans="1:7" x14ac:dyDescent="0.3">
      <c r="A5" s="24" t="s">
        <v>185</v>
      </c>
      <c r="C5" s="26"/>
      <c r="D5" s="26"/>
      <c r="E5" s="26" t="s">
        <v>1</v>
      </c>
      <c r="F5" s="26"/>
      <c r="G5" s="26"/>
    </row>
    <row r="6" spans="1:7" x14ac:dyDescent="0.3">
      <c r="C6" s="26">
        <v>1</v>
      </c>
      <c r="D6" s="26">
        <v>2</v>
      </c>
      <c r="E6" s="26">
        <v>3</v>
      </c>
      <c r="F6" s="26">
        <v>4</v>
      </c>
      <c r="G6" s="26">
        <v>5</v>
      </c>
    </row>
    <row r="7" spans="1:7" x14ac:dyDescent="0.3">
      <c r="A7" s="27" t="s">
        <v>0</v>
      </c>
      <c r="C7" s="33">
        <f>REVENUE!B25</f>
        <v>2990000</v>
      </c>
      <c r="D7" s="33">
        <f>REVENUE!C25</f>
        <v>4605000</v>
      </c>
      <c r="E7" s="33">
        <f>REVENUE!D25</f>
        <v>11570000</v>
      </c>
      <c r="F7" s="33">
        <f>REVENUE!E25</f>
        <v>25375000</v>
      </c>
      <c r="G7" s="33">
        <f>REVENUE!F25</f>
        <v>47600000</v>
      </c>
    </row>
    <row r="9" spans="1:7" x14ac:dyDescent="0.3">
      <c r="A9" s="27" t="s">
        <v>15</v>
      </c>
      <c r="C9" s="39">
        <f>COST_OF_REV!B47</f>
        <v>1186942.8571428573</v>
      </c>
      <c r="D9" s="39">
        <f>COST_OF_REV!C47</f>
        <v>1897185.7142857143</v>
      </c>
      <c r="E9" s="39">
        <f>COST_OF_REV!D47</f>
        <v>3710685.7142857146</v>
      </c>
      <c r="F9" s="39">
        <f>COST_OF_REV!E47</f>
        <v>6268128.5714285709</v>
      </c>
      <c r="G9" s="39">
        <f>COST_OF_REV!F47</f>
        <v>10204371.428571429</v>
      </c>
    </row>
    <row r="11" spans="1:7" x14ac:dyDescent="0.3">
      <c r="A11" s="27" t="s">
        <v>186</v>
      </c>
      <c r="C11" s="39">
        <f>C7-C9</f>
        <v>1803057.1428571427</v>
      </c>
      <c r="D11" s="39">
        <f t="shared" ref="D11:G11" si="0">D7-D9</f>
        <v>2707814.2857142854</v>
      </c>
      <c r="E11" s="39">
        <f t="shared" si="0"/>
        <v>7859314.2857142854</v>
      </c>
      <c r="F11" s="39">
        <f t="shared" si="0"/>
        <v>19106871.428571429</v>
      </c>
      <c r="G11" s="39">
        <f t="shared" si="0"/>
        <v>37395628.571428567</v>
      </c>
    </row>
    <row r="13" spans="1:7" x14ac:dyDescent="0.3">
      <c r="A13" s="27" t="s">
        <v>187</v>
      </c>
    </row>
    <row r="14" spans="1:7" x14ac:dyDescent="0.3">
      <c r="A14" s="69" t="s">
        <v>54</v>
      </c>
      <c r="C14" s="39">
        <f>OPEX!C10</f>
        <v>256500</v>
      </c>
      <c r="D14" s="39">
        <f>OPEX!D10</f>
        <v>548910</v>
      </c>
      <c r="E14" s="39">
        <f>OPEX!E10</f>
        <v>947160</v>
      </c>
      <c r="F14" s="39">
        <f>OPEX!F10</f>
        <v>1699910</v>
      </c>
      <c r="G14" s="39">
        <f>OPEX!G10</f>
        <v>2893660</v>
      </c>
    </row>
    <row r="15" spans="1:7" x14ac:dyDescent="0.3">
      <c r="A15" s="69" t="s">
        <v>188</v>
      </c>
      <c r="C15" s="39">
        <f>OPEX!C19</f>
        <v>888400</v>
      </c>
      <c r="D15" s="39">
        <f>OPEX!D19</f>
        <v>1211400</v>
      </c>
      <c r="E15" s="39">
        <f>OPEX!E19</f>
        <v>2604400</v>
      </c>
      <c r="F15" s="39">
        <f>OPEX!F19</f>
        <v>5365400</v>
      </c>
      <c r="G15" s="39">
        <f>OPEX!G19</f>
        <v>9810400</v>
      </c>
    </row>
    <row r="16" spans="1:7" x14ac:dyDescent="0.3">
      <c r="A16" s="69" t="s">
        <v>46</v>
      </c>
      <c r="C16" s="39">
        <f>OPEX!C27</f>
        <v>371700</v>
      </c>
      <c r="D16" s="39">
        <f>OPEX!D27</f>
        <v>452450</v>
      </c>
      <c r="E16" s="39">
        <f>OPEX!E27</f>
        <v>800700</v>
      </c>
      <c r="F16" s="39">
        <f>OPEX!F27</f>
        <v>1490950</v>
      </c>
      <c r="G16" s="39">
        <f>OPEX!G27</f>
        <v>2602200</v>
      </c>
    </row>
    <row r="17" spans="1:7" x14ac:dyDescent="0.3">
      <c r="A17" s="69" t="s">
        <v>189</v>
      </c>
      <c r="C17" s="70">
        <f>OPEX!C31</f>
        <v>1516600</v>
      </c>
      <c r="D17" s="70">
        <f>OPEX!D31</f>
        <v>2212760</v>
      </c>
      <c r="E17" s="70">
        <f>OPEX!E31</f>
        <v>4352260</v>
      </c>
      <c r="F17" s="70">
        <f>OPEX!F31</f>
        <v>8556260</v>
      </c>
      <c r="G17" s="70">
        <f>OPEX!G31</f>
        <v>15306260</v>
      </c>
    </row>
    <row r="19" spans="1:7" x14ac:dyDescent="0.3">
      <c r="A19" s="69" t="s">
        <v>299</v>
      </c>
      <c r="C19" s="39">
        <f>C11-C17</f>
        <v>286457.14285714272</v>
      </c>
      <c r="D19" s="39">
        <f t="shared" ref="D19:G19" si="1">D11-D17</f>
        <v>495054.28571428545</v>
      </c>
      <c r="E19" s="39">
        <f t="shared" si="1"/>
        <v>3507054.2857142854</v>
      </c>
      <c r="F19" s="39">
        <f t="shared" si="1"/>
        <v>10550611.428571429</v>
      </c>
      <c r="G19" s="39">
        <f t="shared" si="1"/>
        <v>22089368.571428567</v>
      </c>
    </row>
    <row r="21" spans="1:7" x14ac:dyDescent="0.3">
      <c r="A21" s="69" t="s">
        <v>190</v>
      </c>
      <c r="C21" s="71">
        <f>EXTRA!C18</f>
        <v>-9800</v>
      </c>
      <c r="D21" s="71">
        <f>EXTRA!D18</f>
        <v>0</v>
      </c>
      <c r="E21" s="71">
        <f>EXTRA!E18</f>
        <v>0</v>
      </c>
      <c r="F21" s="71">
        <f>EXTRA!F18</f>
        <v>0</v>
      </c>
      <c r="G21" s="71">
        <f>EXTRA!G18</f>
        <v>0</v>
      </c>
    </row>
    <row r="23" spans="1:7" x14ac:dyDescent="0.3">
      <c r="A23" s="27" t="s">
        <v>191</v>
      </c>
      <c r="C23" s="39">
        <f>C19+C21</f>
        <v>276657.14285714272</v>
      </c>
      <c r="D23" s="39">
        <f t="shared" ref="D23:G23" si="2">D19+D21</f>
        <v>495054.28571428545</v>
      </c>
      <c r="E23" s="39">
        <f t="shared" si="2"/>
        <v>3507054.2857142854</v>
      </c>
      <c r="F23" s="39">
        <f t="shared" si="2"/>
        <v>10550611.428571429</v>
      </c>
      <c r="G23" s="39">
        <f t="shared" si="2"/>
        <v>22089368.571428567</v>
      </c>
    </row>
    <row r="25" spans="1:7" x14ac:dyDescent="0.3">
      <c r="A25" s="27" t="s">
        <v>192</v>
      </c>
      <c r="C25" s="33">
        <f>-FUNDING!C48+FUNDING!C52</f>
        <v>-6000</v>
      </c>
      <c r="D25" s="33">
        <f>-FUNDING!D48+FUNDING!D52</f>
        <v>-60000</v>
      </c>
      <c r="E25" s="33">
        <f>-FUNDING!E48+FUNDING!E52</f>
        <v>-48000</v>
      </c>
      <c r="F25" s="33">
        <f>-FUNDING!F48+FUNDING!F52</f>
        <v>-45000</v>
      </c>
      <c r="G25" s="33">
        <f>-FUNDING!G48+FUNDING!G52</f>
        <v>-14000</v>
      </c>
    </row>
    <row r="27" spans="1:7" x14ac:dyDescent="0.3">
      <c r="A27" s="27" t="s">
        <v>301</v>
      </c>
      <c r="C27" s="39">
        <f>SUM(C23,C25)</f>
        <v>270657.14285714272</v>
      </c>
      <c r="D27" s="39">
        <f t="shared" ref="D27:G27" si="3">SUM(D23,D25)</f>
        <v>435054.28571428545</v>
      </c>
      <c r="E27" s="39">
        <f t="shared" si="3"/>
        <v>3459054.2857142854</v>
      </c>
      <c r="F27" s="39">
        <f t="shared" si="3"/>
        <v>10505611.428571429</v>
      </c>
      <c r="G27" s="39">
        <f t="shared" si="3"/>
        <v>22075368.571428567</v>
      </c>
    </row>
    <row r="29" spans="1:7" x14ac:dyDescent="0.3">
      <c r="A29" s="27" t="s">
        <v>151</v>
      </c>
      <c r="C29" s="33">
        <f>TAX!C13</f>
        <v>-67664.285714285681</v>
      </c>
      <c r="D29" s="33">
        <f>TAX!D13</f>
        <v>-108763.57142857136</v>
      </c>
      <c r="E29" s="33">
        <f>TAX!E13</f>
        <v>-864763.57142857136</v>
      </c>
      <c r="F29" s="33">
        <f>TAX!F13</f>
        <v>-2626402.8571428573</v>
      </c>
      <c r="G29" s="33">
        <f>TAX!G13</f>
        <v>-5518842.1428571418</v>
      </c>
    </row>
    <row r="31" spans="1:7" x14ac:dyDescent="0.3">
      <c r="A31" s="27" t="s">
        <v>302</v>
      </c>
      <c r="C31" s="39">
        <f>SUM(C27,C29)</f>
        <v>202992.85714285704</v>
      </c>
      <c r="D31" s="39">
        <f t="shared" ref="D31:G31" si="4">SUM(D27,D29)</f>
        <v>326290.71428571409</v>
      </c>
      <c r="E31" s="39">
        <f t="shared" si="4"/>
        <v>2594290.7142857141</v>
      </c>
      <c r="F31" s="39">
        <f t="shared" si="4"/>
        <v>7879208.5714285718</v>
      </c>
      <c r="G31" s="39">
        <f t="shared" si="4"/>
        <v>16556526.428571425</v>
      </c>
    </row>
    <row r="32" spans="1:7" x14ac:dyDescent="0.3">
      <c r="A32" s="72" t="s">
        <v>31</v>
      </c>
      <c r="C32" s="73">
        <f>C31/C7</f>
        <v>6.7890587673196334E-2</v>
      </c>
      <c r="D32" s="73">
        <f t="shared" ref="D32:G32" si="5">D31/D7</f>
        <v>7.0855746859004143E-2</v>
      </c>
      <c r="E32" s="73">
        <f t="shared" si="5"/>
        <v>0.22422564514137547</v>
      </c>
      <c r="F32" s="73">
        <f t="shared" si="5"/>
        <v>0.31051068261787473</v>
      </c>
      <c r="G32" s="73">
        <f t="shared" si="5"/>
        <v>0.34782618547418959</v>
      </c>
    </row>
  </sheetData>
  <sheetProtection algorithmName="SHA-512" hashValue="13a+JVFvbXAVfyYtI5nQqqqt8ogOPde7VzNUMe5+Uv7EZdRu7zu/Dp55xawPJQizQ3xuBND2XmjLk2F811S2iA==" saltValue="YFJJf5ghO6Z1bng+01TsOg==" spinCount="100000" sheet="1" objects="1" scenarios="1"/>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5:G32"/>
  <sheetViews>
    <sheetView zoomScale="70" zoomScaleNormal="70" workbookViewId="0">
      <selection activeCell="D6" sqref="D6"/>
    </sheetView>
  </sheetViews>
  <sheetFormatPr baseColWidth="10" defaultRowHeight="13.5" x14ac:dyDescent="0.3"/>
  <cols>
    <col min="1" max="1" width="43.08984375" style="27" customWidth="1"/>
    <col min="2" max="2" width="16.54296875" style="27" bestFit="1" customWidth="1"/>
    <col min="3" max="3" width="19.36328125" style="27" customWidth="1"/>
    <col min="4" max="4" width="19.08984375" style="27" customWidth="1"/>
    <col min="5" max="5" width="19.54296875" style="27" customWidth="1"/>
    <col min="6" max="6" width="19.453125" style="27" customWidth="1"/>
    <col min="7" max="7" width="19.6328125" style="27" customWidth="1"/>
    <col min="8" max="16384" width="10.90625" style="27"/>
  </cols>
  <sheetData>
    <row r="5" spans="1:7" x14ac:dyDescent="0.3">
      <c r="A5" s="24" t="s">
        <v>195</v>
      </c>
      <c r="B5" s="25" t="s">
        <v>1</v>
      </c>
      <c r="C5" s="26"/>
      <c r="D5" s="26"/>
      <c r="E5" s="26" t="s">
        <v>1</v>
      </c>
      <c r="F5" s="26"/>
      <c r="G5" s="26"/>
    </row>
    <row r="6" spans="1:7" x14ac:dyDescent="0.3">
      <c r="B6" s="25">
        <v>0</v>
      </c>
      <c r="C6" s="26">
        <v>1</v>
      </c>
      <c r="D6" s="26">
        <v>2</v>
      </c>
      <c r="E6" s="26">
        <v>3</v>
      </c>
      <c r="F6" s="26">
        <v>4</v>
      </c>
      <c r="G6" s="26">
        <v>5</v>
      </c>
    </row>
    <row r="7" spans="1:7" x14ac:dyDescent="0.3">
      <c r="A7" s="24" t="s">
        <v>194</v>
      </c>
      <c r="B7" s="28"/>
    </row>
    <row r="8" spans="1:7" x14ac:dyDescent="0.3">
      <c r="A8" s="29" t="s">
        <v>196</v>
      </c>
      <c r="B8" s="28"/>
    </row>
    <row r="9" spans="1:7" x14ac:dyDescent="0.3">
      <c r="A9" s="30" t="s">
        <v>154</v>
      </c>
      <c r="B9" s="31">
        <f>FUNDING!B5</f>
        <v>1200000</v>
      </c>
      <c r="C9" s="32">
        <f>CASHFLOW!C33</f>
        <v>1590452.7142857141</v>
      </c>
      <c r="D9" s="32">
        <f>CASHFLOW!D33</f>
        <v>1923683.6428571425</v>
      </c>
      <c r="E9" s="32">
        <f>CASHFLOW!E33</f>
        <v>3512338.1714285705</v>
      </c>
      <c r="F9" s="32">
        <f>CASHFLOW!F33</f>
        <v>10946575.714285715</v>
      </c>
      <c r="G9" s="32">
        <f>CASHFLOW!G33</f>
        <v>26412603.571428567</v>
      </c>
    </row>
    <row r="10" spans="1:7" x14ac:dyDescent="0.3">
      <c r="A10" s="30" t="s">
        <v>197</v>
      </c>
      <c r="B10" s="31"/>
      <c r="C10" s="33">
        <f>WORKINGCAPITAL!C12</f>
        <v>207805</v>
      </c>
      <c r="D10" s="33">
        <f>WORKINGCAPITAL!D12</f>
        <v>320047.5</v>
      </c>
      <c r="E10" s="33">
        <f>WORKINGCAPITAL!E12</f>
        <v>964938</v>
      </c>
      <c r="F10" s="33">
        <f>WORKINGCAPITAL!F12</f>
        <v>2116275</v>
      </c>
      <c r="G10" s="33">
        <f>WORKINGCAPITAL!G12</f>
        <v>3969840</v>
      </c>
    </row>
    <row r="11" spans="1:7" x14ac:dyDescent="0.3">
      <c r="A11" s="30" t="s">
        <v>198</v>
      </c>
      <c r="B11" s="31"/>
      <c r="C11" s="33">
        <f>WORKINGCAPITAL!C19</f>
        <v>166244</v>
      </c>
      <c r="D11" s="33">
        <f>WORKINGCAPITAL!D19</f>
        <v>256038</v>
      </c>
      <c r="E11" s="33">
        <f>WORKINGCAPITAL!E19</f>
        <v>771950.4</v>
      </c>
      <c r="F11" s="33">
        <f>WORKINGCAPITAL!F19</f>
        <v>1410850</v>
      </c>
      <c r="G11" s="33">
        <f>WORKINGCAPITAL!G19</f>
        <v>1984920</v>
      </c>
    </row>
    <row r="12" spans="1:7" x14ac:dyDescent="0.3">
      <c r="A12" s="30" t="s">
        <v>142</v>
      </c>
      <c r="B12" s="31"/>
      <c r="C12" s="33">
        <f>WORKINGCAPITAL!C25</f>
        <v>33248.800000000003</v>
      </c>
      <c r="D12" s="33">
        <f>WORKINGCAPITAL!D25</f>
        <v>51207.6</v>
      </c>
      <c r="E12" s="33">
        <f>WORKINGCAPITAL!E25</f>
        <v>128658.4</v>
      </c>
      <c r="F12" s="33">
        <f>WORKINGCAPITAL!F25</f>
        <v>282170</v>
      </c>
      <c r="G12" s="33">
        <f>WORKINGCAPITAL!G25</f>
        <v>529312</v>
      </c>
    </row>
    <row r="13" spans="1:7" x14ac:dyDescent="0.3">
      <c r="A13" s="29" t="s">
        <v>199</v>
      </c>
      <c r="B13" s="31">
        <f>SUM(B9:B12)</f>
        <v>1200000</v>
      </c>
      <c r="C13" s="33">
        <f t="shared" ref="C13:G13" si="0">SUM(C9:C12)</f>
        <v>1997750.5142857141</v>
      </c>
      <c r="D13" s="33">
        <f t="shared" si="0"/>
        <v>2550976.7428571428</v>
      </c>
      <c r="E13" s="33">
        <f t="shared" si="0"/>
        <v>5377884.9714285713</v>
      </c>
      <c r="F13" s="33">
        <f t="shared" si="0"/>
        <v>14755870.714285715</v>
      </c>
      <c r="G13" s="33">
        <f t="shared" si="0"/>
        <v>32896675.571428567</v>
      </c>
    </row>
    <row r="14" spans="1:7" x14ac:dyDescent="0.3">
      <c r="A14" s="29" t="s">
        <v>210</v>
      </c>
      <c r="B14" s="31">
        <f>CAPEX!B49</f>
        <v>0</v>
      </c>
      <c r="C14" s="33">
        <f>CAPEX!C49</f>
        <v>237857.14285714284</v>
      </c>
      <c r="D14" s="33">
        <f>CAPEX!D49</f>
        <v>613571.42857142864</v>
      </c>
      <c r="E14" s="33">
        <f>CAPEX!E49</f>
        <v>939285.71428571432</v>
      </c>
      <c r="F14" s="33">
        <f>CAPEX!F49</f>
        <v>1245357.142857143</v>
      </c>
      <c r="G14" s="33">
        <f>CAPEX!G49</f>
        <v>1511785.7142857146</v>
      </c>
    </row>
    <row r="15" spans="1:7" x14ac:dyDescent="0.3">
      <c r="A15" s="24" t="s">
        <v>200</v>
      </c>
      <c r="B15" s="34">
        <f>SUM(B13:B14)</f>
        <v>1200000</v>
      </c>
      <c r="C15" s="35">
        <f t="shared" ref="C15:G15" si="1">SUM(C13:C14)</f>
        <v>2235607.6571428571</v>
      </c>
      <c r="D15" s="35">
        <f t="shared" si="1"/>
        <v>3164548.1714285715</v>
      </c>
      <c r="E15" s="35">
        <f t="shared" si="1"/>
        <v>6317170.6857142858</v>
      </c>
      <c r="F15" s="35">
        <f t="shared" si="1"/>
        <v>16001227.857142858</v>
      </c>
      <c r="G15" s="35">
        <f t="shared" si="1"/>
        <v>34408461.285714284</v>
      </c>
    </row>
    <row r="16" spans="1:7" x14ac:dyDescent="0.3">
      <c r="B16" s="31"/>
      <c r="C16" s="33"/>
      <c r="D16" s="33"/>
      <c r="E16" s="33"/>
      <c r="F16" s="33"/>
      <c r="G16" s="33"/>
    </row>
    <row r="17" spans="1:7" x14ac:dyDescent="0.3">
      <c r="A17" s="24" t="s">
        <v>201</v>
      </c>
      <c r="B17" s="31"/>
      <c r="C17" s="33"/>
      <c r="D17" s="33"/>
      <c r="E17" s="33"/>
      <c r="F17" s="33"/>
      <c r="G17" s="33"/>
    </row>
    <row r="18" spans="1:7" x14ac:dyDescent="0.3">
      <c r="A18" s="29" t="s">
        <v>202</v>
      </c>
      <c r="B18" s="31"/>
      <c r="C18" s="33"/>
      <c r="D18" s="33"/>
      <c r="E18" s="33"/>
      <c r="F18" s="33"/>
      <c r="G18" s="33"/>
    </row>
    <row r="19" spans="1:7" x14ac:dyDescent="0.3">
      <c r="A19" s="30" t="s">
        <v>168</v>
      </c>
      <c r="B19" s="31">
        <f>FUNDING!B23</f>
        <v>0</v>
      </c>
      <c r="C19" s="33">
        <f>FUNDING!C23</f>
        <v>0</v>
      </c>
      <c r="D19" s="33">
        <f>FUNDING!D23</f>
        <v>0</v>
      </c>
      <c r="E19" s="33">
        <f>FUNDING!E23</f>
        <v>0</v>
      </c>
      <c r="F19" s="33">
        <f>FUNDING!F23</f>
        <v>100000</v>
      </c>
      <c r="G19" s="33">
        <f>FUNDING!G23</f>
        <v>0</v>
      </c>
    </row>
    <row r="20" spans="1:7" x14ac:dyDescent="0.3">
      <c r="A20" s="30" t="s">
        <v>203</v>
      </c>
      <c r="B20" s="31"/>
      <c r="C20" s="33">
        <f>WORKINGCAPITAL!C31</f>
        <v>249366</v>
      </c>
      <c r="D20" s="33">
        <f>WORKINGCAPITAL!D31</f>
        <v>384057</v>
      </c>
      <c r="E20" s="33">
        <f>WORKINGCAPITAL!E31</f>
        <v>964938</v>
      </c>
      <c r="F20" s="33">
        <f>WORKINGCAPITAL!F31</f>
        <v>2116275</v>
      </c>
      <c r="G20" s="33">
        <f>WORKINGCAPITAL!G31</f>
        <v>3969840</v>
      </c>
    </row>
    <row r="21" spans="1:7" x14ac:dyDescent="0.3">
      <c r="A21" s="30" t="s">
        <v>204</v>
      </c>
      <c r="B21" s="31"/>
      <c r="C21" s="33">
        <f>WORKINGCAPITAL!C37</f>
        <v>33248.800000000003</v>
      </c>
      <c r="D21" s="33">
        <f>WORKINGCAPITAL!D37</f>
        <v>51207.6</v>
      </c>
      <c r="E21" s="33">
        <f>WORKINGCAPITAL!E37</f>
        <v>128658.4</v>
      </c>
      <c r="F21" s="33">
        <f>WORKINGCAPITAL!F37</f>
        <v>282170</v>
      </c>
      <c r="G21" s="33">
        <f>WORKINGCAPITAL!G37</f>
        <v>529312</v>
      </c>
    </row>
    <row r="22" spans="1:7" x14ac:dyDescent="0.3">
      <c r="A22" s="30" t="s">
        <v>205</v>
      </c>
      <c r="B22" s="31">
        <f>FUNDING!B27</f>
        <v>0</v>
      </c>
      <c r="C22" s="33">
        <f>FUNDING!C27</f>
        <v>50000</v>
      </c>
      <c r="D22" s="33">
        <f>FUNDING!D27</f>
        <v>100000</v>
      </c>
      <c r="E22" s="33">
        <f>FUNDING!E27</f>
        <v>100000</v>
      </c>
      <c r="F22" s="33">
        <f>FUNDING!F27</f>
        <v>100000</v>
      </c>
      <c r="G22" s="33">
        <f>FUNDING!G27</f>
        <v>100000</v>
      </c>
    </row>
    <row r="23" spans="1:7" x14ac:dyDescent="0.3">
      <c r="A23" s="29" t="s">
        <v>206</v>
      </c>
      <c r="B23" s="31">
        <f>SUM(B19:B22)</f>
        <v>0</v>
      </c>
      <c r="C23" s="33">
        <f t="shared" ref="C23:G23" si="2">SUM(C19:C22)</f>
        <v>332614.8</v>
      </c>
      <c r="D23" s="33">
        <f t="shared" si="2"/>
        <v>535264.6</v>
      </c>
      <c r="E23" s="33">
        <f t="shared" si="2"/>
        <v>1193596.3999999999</v>
      </c>
      <c r="F23" s="33">
        <f t="shared" si="2"/>
        <v>2598445</v>
      </c>
      <c r="G23" s="33">
        <f t="shared" si="2"/>
        <v>4599152</v>
      </c>
    </row>
    <row r="24" spans="1:7" x14ac:dyDescent="0.3">
      <c r="B24" s="31"/>
      <c r="C24" s="33"/>
      <c r="D24" s="33"/>
      <c r="E24" s="33"/>
      <c r="F24" s="33"/>
      <c r="G24" s="33"/>
    </row>
    <row r="25" spans="1:7" x14ac:dyDescent="0.3">
      <c r="A25" s="24" t="s">
        <v>207</v>
      </c>
      <c r="B25" s="31">
        <f>FUNDING!B30</f>
        <v>0</v>
      </c>
      <c r="C25" s="33">
        <f>FUNDING!C30</f>
        <v>0</v>
      </c>
      <c r="D25" s="33">
        <f>FUNDING!D30</f>
        <v>400000</v>
      </c>
      <c r="E25" s="33">
        <f>FUNDING!E30</f>
        <v>300000</v>
      </c>
      <c r="F25" s="33">
        <f>FUNDING!F30</f>
        <v>200000</v>
      </c>
      <c r="G25" s="33">
        <f>FUNDING!G30</f>
        <v>100000</v>
      </c>
    </row>
    <row r="26" spans="1:7" x14ac:dyDescent="0.3">
      <c r="B26" s="31"/>
      <c r="C26" s="33"/>
      <c r="D26" s="33"/>
      <c r="E26" s="33"/>
      <c r="F26" s="33"/>
      <c r="G26" s="33"/>
    </row>
    <row r="27" spans="1:7" x14ac:dyDescent="0.3">
      <c r="A27" s="29" t="s">
        <v>208</v>
      </c>
      <c r="B27" s="31"/>
      <c r="C27" s="33"/>
      <c r="D27" s="33"/>
      <c r="E27" s="33"/>
      <c r="F27" s="33"/>
      <c r="G27" s="33"/>
    </row>
    <row r="28" spans="1:7" x14ac:dyDescent="0.3">
      <c r="A28" s="30" t="s">
        <v>158</v>
      </c>
      <c r="B28" s="31">
        <f>FUNDING!B10</f>
        <v>700000</v>
      </c>
      <c r="C28" s="33">
        <f>FUNDING!C10</f>
        <v>700000</v>
      </c>
      <c r="D28" s="33">
        <f>FUNDING!D10</f>
        <v>700000</v>
      </c>
      <c r="E28" s="33">
        <f>FUNDING!E10</f>
        <v>700000</v>
      </c>
      <c r="F28" s="33">
        <f>FUNDING!F10</f>
        <v>700000</v>
      </c>
      <c r="G28" s="33">
        <f>FUNDING!G10</f>
        <v>700000</v>
      </c>
    </row>
    <row r="29" spans="1:7" x14ac:dyDescent="0.3">
      <c r="A29" s="30" t="s">
        <v>159</v>
      </c>
      <c r="B29" s="31">
        <f>FUNDING!B16</f>
        <v>500000</v>
      </c>
      <c r="C29" s="33">
        <f>FUNDING!C16</f>
        <v>1000000</v>
      </c>
      <c r="D29" s="33">
        <f>FUNDING!D16</f>
        <v>1000000</v>
      </c>
      <c r="E29" s="33">
        <f>FUNDING!E16</f>
        <v>1000000</v>
      </c>
      <c r="F29" s="33">
        <f>FUNDING!F16</f>
        <v>1500000</v>
      </c>
      <c r="G29" s="33">
        <f>FUNDING!G16</f>
        <v>1500000</v>
      </c>
    </row>
    <row r="30" spans="1:7" x14ac:dyDescent="0.3">
      <c r="A30" s="30" t="s">
        <v>180</v>
      </c>
      <c r="B30" s="31"/>
      <c r="C30" s="33">
        <f>FUNDING!C59</f>
        <v>202992.85714285704</v>
      </c>
      <c r="D30" s="33">
        <f>FUNDING!D59</f>
        <v>529283.57142857113</v>
      </c>
      <c r="E30" s="33">
        <f>FUNDING!E59</f>
        <v>3123574.2857142854</v>
      </c>
      <c r="F30" s="33">
        <f>FUNDING!F59</f>
        <v>11002782.857142858</v>
      </c>
      <c r="G30" s="33">
        <f>FUNDING!G59</f>
        <v>27509309.285714284</v>
      </c>
    </row>
    <row r="31" spans="1:7" x14ac:dyDescent="0.3">
      <c r="A31" s="30" t="s">
        <v>160</v>
      </c>
      <c r="B31" s="31">
        <f>SUM(B28:B30)</f>
        <v>1200000</v>
      </c>
      <c r="C31" s="33">
        <f t="shared" ref="C31:G31" si="3">SUM(C28:C30)</f>
        <v>1902992.857142857</v>
      </c>
      <c r="D31" s="33">
        <f t="shared" si="3"/>
        <v>2229283.5714285709</v>
      </c>
      <c r="E31" s="33">
        <f t="shared" si="3"/>
        <v>4823574.2857142854</v>
      </c>
      <c r="F31" s="33">
        <f t="shared" si="3"/>
        <v>13202782.857142858</v>
      </c>
      <c r="G31" s="33">
        <f t="shared" si="3"/>
        <v>29709309.285714284</v>
      </c>
    </row>
    <row r="32" spans="1:7" x14ac:dyDescent="0.3">
      <c r="A32" s="36" t="s">
        <v>209</v>
      </c>
      <c r="B32" s="34">
        <f>SUM(B23,B25,B31)</f>
        <v>1200000</v>
      </c>
      <c r="C32" s="35">
        <f t="shared" ref="C32:G32" si="4">SUM(C23,C25,C31)</f>
        <v>2235607.6571428571</v>
      </c>
      <c r="D32" s="35">
        <f t="shared" si="4"/>
        <v>3164548.171428571</v>
      </c>
      <c r="E32" s="35">
        <f t="shared" si="4"/>
        <v>6317170.6857142858</v>
      </c>
      <c r="F32" s="35">
        <f t="shared" si="4"/>
        <v>16001227.857142858</v>
      </c>
      <c r="G32" s="35">
        <f t="shared" si="4"/>
        <v>34408461.285714284</v>
      </c>
    </row>
  </sheetData>
  <sheetProtection algorithmName="SHA-512" hashValue="T7S3yH8S7q8R1nONPbbHMqoOSAkx08GDrxK4/aJhAV6fqH4A773Xz88VNnHj0OCpu9O/us3LFyol9wMBxPS04g==" saltValue="gUvF8QhSGyBAL8if6quRLQ==" spinCount="100000" sheet="1" objects="1" scenarios="1"/>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4:G33"/>
  <sheetViews>
    <sheetView topLeftCell="D1" zoomScale="69" zoomScaleNormal="69" workbookViewId="0">
      <selection activeCell="J11" sqref="J11"/>
    </sheetView>
  </sheetViews>
  <sheetFormatPr baseColWidth="10" defaultRowHeight="13.5" x14ac:dyDescent="0.3"/>
  <cols>
    <col min="1" max="1" width="39.36328125" style="27" customWidth="1"/>
    <col min="2" max="2" width="16.54296875" style="27" bestFit="1" customWidth="1"/>
    <col min="3" max="3" width="16.90625" style="27" customWidth="1"/>
    <col min="4" max="4" width="17.08984375" style="27" customWidth="1"/>
    <col min="5" max="5" width="17.1796875" style="27" customWidth="1"/>
    <col min="6" max="6" width="18.453125" style="27" customWidth="1"/>
    <col min="7" max="7" width="19.08984375" style="27" customWidth="1"/>
    <col min="8" max="16384" width="10.90625" style="27"/>
  </cols>
  <sheetData>
    <row r="4" spans="1:7" x14ac:dyDescent="0.3">
      <c r="A4" s="24" t="s">
        <v>213</v>
      </c>
      <c r="B4" s="37"/>
      <c r="C4" s="26"/>
      <c r="D4" s="26"/>
      <c r="E4" s="26" t="s">
        <v>1</v>
      </c>
      <c r="F4" s="26"/>
      <c r="G4" s="26"/>
    </row>
    <row r="5" spans="1:7" x14ac:dyDescent="0.3">
      <c r="B5" s="37"/>
      <c r="C5" s="26">
        <v>1</v>
      </c>
      <c r="D5" s="26">
        <v>2</v>
      </c>
      <c r="E5" s="26">
        <v>3</v>
      </c>
      <c r="F5" s="26">
        <v>4</v>
      </c>
      <c r="G5" s="26">
        <v>5</v>
      </c>
    </row>
    <row r="6" spans="1:7" x14ac:dyDescent="0.3">
      <c r="A6" s="24" t="s">
        <v>214</v>
      </c>
    </row>
    <row r="7" spans="1:7" x14ac:dyDescent="0.3">
      <c r="A7" s="38" t="s">
        <v>229</v>
      </c>
      <c r="C7" s="39">
        <f>PL!C31</f>
        <v>202992.85714285704</v>
      </c>
      <c r="D7" s="39">
        <f>PL!D31</f>
        <v>326290.71428571409</v>
      </c>
      <c r="E7" s="39">
        <f>PL!E31</f>
        <v>2594290.7142857141</v>
      </c>
      <c r="F7" s="39">
        <f>PL!F31</f>
        <v>7879208.5714285718</v>
      </c>
      <c r="G7" s="39">
        <f>PL!G31</f>
        <v>16556526.428571425</v>
      </c>
    </row>
    <row r="8" spans="1:7" x14ac:dyDescent="0.3">
      <c r="A8" s="38" t="s">
        <v>24</v>
      </c>
      <c r="C8" s="33">
        <f>CAPEX!C45</f>
        <v>42142.857142857145</v>
      </c>
      <c r="D8" s="33">
        <f>CAPEX!D45</f>
        <v>124285.71428571429</v>
      </c>
      <c r="E8" s="33">
        <f>CAPEX!E45</f>
        <v>224285.71428571429</v>
      </c>
      <c r="F8" s="33">
        <f>CAPEX!F45</f>
        <v>343928.57142857142</v>
      </c>
      <c r="G8" s="33">
        <f>CAPEX!G45</f>
        <v>483571.42857142852</v>
      </c>
    </row>
    <row r="9" spans="1:7" x14ac:dyDescent="0.3">
      <c r="A9" s="38" t="s">
        <v>215</v>
      </c>
    </row>
    <row r="10" spans="1:7" x14ac:dyDescent="0.3">
      <c r="A10" s="38" t="s">
        <v>230</v>
      </c>
      <c r="C10" s="33">
        <f>WORKINGCAPITAL!C13</f>
        <v>-207805</v>
      </c>
      <c r="D10" s="33">
        <f>WORKINGCAPITAL!D13</f>
        <v>-112242.5</v>
      </c>
      <c r="E10" s="33">
        <f>WORKINGCAPITAL!E13</f>
        <v>-644890.5</v>
      </c>
      <c r="F10" s="33">
        <f>WORKINGCAPITAL!F13</f>
        <v>-1151337</v>
      </c>
      <c r="G10" s="33">
        <f>WORKINGCAPITAL!G13</f>
        <v>-1853565</v>
      </c>
    </row>
    <row r="11" spans="1:7" x14ac:dyDescent="0.3">
      <c r="A11" s="38" t="s">
        <v>231</v>
      </c>
      <c r="C11" s="33">
        <f>WORKINGCAPITAL!C20</f>
        <v>-166244</v>
      </c>
      <c r="D11" s="33">
        <f>WORKINGCAPITAL!D20</f>
        <v>-89794</v>
      </c>
      <c r="E11" s="33">
        <f>WORKINGCAPITAL!E20</f>
        <v>-515912.4</v>
      </c>
      <c r="F11" s="33">
        <f>WORKINGCAPITAL!F20</f>
        <v>-638899.6</v>
      </c>
      <c r="G11" s="33">
        <f>WORKINGCAPITAL!G20</f>
        <v>-574070</v>
      </c>
    </row>
    <row r="12" spans="1:7" x14ac:dyDescent="0.3">
      <c r="A12" s="38" t="s">
        <v>232</v>
      </c>
      <c r="C12" s="33">
        <f>WORKINGCAPITAL!C26</f>
        <v>-33248.800000000003</v>
      </c>
      <c r="D12" s="33">
        <f>WORKINGCAPITAL!D26</f>
        <v>-17958.799999999996</v>
      </c>
      <c r="E12" s="33">
        <f>WORKINGCAPITAL!E26</f>
        <v>-77450.799999999988</v>
      </c>
      <c r="F12" s="33">
        <f>WORKINGCAPITAL!F26</f>
        <v>-153511.6</v>
      </c>
      <c r="G12" s="33">
        <f>WORKINGCAPITAL!G26</f>
        <v>-247142</v>
      </c>
    </row>
    <row r="13" spans="1:7" x14ac:dyDescent="0.3">
      <c r="A13" s="38" t="s">
        <v>233</v>
      </c>
      <c r="C13" s="33">
        <f>WORKINGCAPITAL!C32</f>
        <v>249366</v>
      </c>
      <c r="D13" s="33">
        <f>WORKINGCAPITAL!D32</f>
        <v>134691</v>
      </c>
      <c r="E13" s="33">
        <f>WORKINGCAPITAL!E32</f>
        <v>580881</v>
      </c>
      <c r="F13" s="33">
        <f>WORKINGCAPITAL!F32</f>
        <v>1151337</v>
      </c>
      <c r="G13" s="33">
        <f>WORKINGCAPITAL!G32</f>
        <v>1853565</v>
      </c>
    </row>
    <row r="14" spans="1:7" x14ac:dyDescent="0.3">
      <c r="A14" s="38" t="s">
        <v>234</v>
      </c>
      <c r="C14" s="33">
        <f>WORKINGCAPITAL!C38</f>
        <v>33248.800000000003</v>
      </c>
      <c r="D14" s="33">
        <f>WORKINGCAPITAL!D38</f>
        <v>17958.799999999996</v>
      </c>
      <c r="E14" s="33">
        <f>WORKINGCAPITAL!E38</f>
        <v>77450.799999999988</v>
      </c>
      <c r="F14" s="33">
        <f>WORKINGCAPITAL!F38</f>
        <v>153511.6</v>
      </c>
      <c r="G14" s="33">
        <f>WORKINGCAPITAL!G38</f>
        <v>247142</v>
      </c>
    </row>
    <row r="15" spans="1:7" x14ac:dyDescent="0.3">
      <c r="A15" s="29" t="s">
        <v>216</v>
      </c>
      <c r="C15" s="39">
        <f>SUM(C7:C14)</f>
        <v>120452.71428571422</v>
      </c>
      <c r="D15" s="39">
        <f t="shared" ref="D15:G15" si="0">SUM(D7:D14)</f>
        <v>383230.92857142841</v>
      </c>
      <c r="E15" s="39">
        <f t="shared" si="0"/>
        <v>2238654.5285714278</v>
      </c>
      <c r="F15" s="39">
        <f t="shared" si="0"/>
        <v>7584237.542857144</v>
      </c>
      <c r="G15" s="39">
        <f t="shared" si="0"/>
        <v>16466027.857142854</v>
      </c>
    </row>
    <row r="17" spans="1:7" x14ac:dyDescent="0.3">
      <c r="A17" s="29" t="s">
        <v>217</v>
      </c>
    </row>
    <row r="18" spans="1:7" x14ac:dyDescent="0.3">
      <c r="A18" s="38" t="s">
        <v>218</v>
      </c>
      <c r="C18" s="33">
        <f>-CAPEX!C11</f>
        <v>-280000</v>
      </c>
      <c r="D18" s="33">
        <f>-CAPEX!D11</f>
        <v>-500000</v>
      </c>
      <c r="E18" s="33">
        <f>-CAPEX!E11</f>
        <v>-550000</v>
      </c>
      <c r="F18" s="33">
        <f>-CAPEX!F11</f>
        <v>-650000</v>
      </c>
      <c r="G18" s="33">
        <f>-CAPEX!G11</f>
        <v>-750000</v>
      </c>
    </row>
    <row r="19" spans="1:7" x14ac:dyDescent="0.3">
      <c r="A19" s="29" t="s">
        <v>216</v>
      </c>
      <c r="C19" s="33">
        <f>C18</f>
        <v>-280000</v>
      </c>
      <c r="D19" s="33">
        <f t="shared" ref="D19:G19" si="1">D18</f>
        <v>-500000</v>
      </c>
      <c r="E19" s="33">
        <f t="shared" si="1"/>
        <v>-550000</v>
      </c>
      <c r="F19" s="33">
        <f t="shared" si="1"/>
        <v>-650000</v>
      </c>
      <c r="G19" s="33">
        <f t="shared" si="1"/>
        <v>-750000</v>
      </c>
    </row>
    <row r="21" spans="1:7" x14ac:dyDescent="0.3">
      <c r="A21" s="24" t="s">
        <v>219</v>
      </c>
    </row>
    <row r="22" spans="1:7" x14ac:dyDescent="0.3">
      <c r="A22" s="40" t="s">
        <v>220</v>
      </c>
      <c r="C22" s="33">
        <f>FUNDING!C24</f>
        <v>0</v>
      </c>
      <c r="D22" s="33">
        <f>FUNDING!D24</f>
        <v>0</v>
      </c>
      <c r="E22" s="33">
        <f>FUNDING!E24</f>
        <v>0</v>
      </c>
      <c r="F22" s="33">
        <f>FUNDING!F24</f>
        <v>100000</v>
      </c>
      <c r="G22" s="33">
        <f>FUNDING!G24</f>
        <v>-100000</v>
      </c>
    </row>
    <row r="23" spans="1:7" x14ac:dyDescent="0.3">
      <c r="A23" s="40" t="s">
        <v>221</v>
      </c>
      <c r="C23" s="33">
        <f>FUNDING!C28</f>
        <v>50000</v>
      </c>
      <c r="D23" s="33">
        <f>FUNDING!D28</f>
        <v>50000</v>
      </c>
      <c r="E23" s="33">
        <f>FUNDING!E28</f>
        <v>0</v>
      </c>
      <c r="F23" s="33">
        <f>FUNDING!F28</f>
        <v>0</v>
      </c>
      <c r="G23" s="33">
        <f>FUNDING!G28</f>
        <v>0</v>
      </c>
    </row>
    <row r="24" spans="1:7" x14ac:dyDescent="0.3">
      <c r="A24" s="40" t="s">
        <v>222</v>
      </c>
      <c r="C24" s="33">
        <f>FUNDING!C31</f>
        <v>0</v>
      </c>
      <c r="D24" s="33">
        <f>FUNDING!D31</f>
        <v>400000</v>
      </c>
      <c r="E24" s="33">
        <f>FUNDING!E31</f>
        <v>-100000</v>
      </c>
      <c r="F24" s="33">
        <f>FUNDING!F31</f>
        <v>-100000</v>
      </c>
      <c r="G24" s="33">
        <f>FUNDING!G31</f>
        <v>-100000</v>
      </c>
    </row>
    <row r="25" spans="1:7" x14ac:dyDescent="0.3">
      <c r="A25" s="40" t="s">
        <v>225</v>
      </c>
      <c r="C25" s="33">
        <f>FUNDING!C11</f>
        <v>0</v>
      </c>
      <c r="D25" s="33">
        <f>FUNDING!D11</f>
        <v>0</v>
      </c>
      <c r="E25" s="33">
        <f>FUNDING!E11</f>
        <v>0</v>
      </c>
      <c r="F25" s="33">
        <f>FUNDING!F11</f>
        <v>0</v>
      </c>
      <c r="G25" s="33">
        <f>FUNDING!G11</f>
        <v>0</v>
      </c>
    </row>
    <row r="26" spans="1:7" x14ac:dyDescent="0.3">
      <c r="A26" s="40" t="s">
        <v>224</v>
      </c>
      <c r="C26" s="33">
        <f>FUNDING!C17</f>
        <v>500000</v>
      </c>
      <c r="D26" s="33">
        <f>FUNDING!D17</f>
        <v>0</v>
      </c>
      <c r="E26" s="33">
        <f>FUNDING!E17</f>
        <v>0</v>
      </c>
      <c r="F26" s="33">
        <f>FUNDING!F17</f>
        <v>500000</v>
      </c>
      <c r="G26" s="33">
        <f>FUNDING!G17</f>
        <v>0</v>
      </c>
    </row>
    <row r="27" spans="1:7" x14ac:dyDescent="0.3">
      <c r="A27" s="40" t="s">
        <v>223</v>
      </c>
      <c r="C27" s="33">
        <f>-FUNDING!C56</f>
        <v>0</v>
      </c>
      <c r="D27" s="33">
        <f>-FUNDING!D56</f>
        <v>0</v>
      </c>
      <c r="E27" s="33">
        <f>-FUNDING!E56</f>
        <v>0</v>
      </c>
      <c r="F27" s="33">
        <f>-FUNDING!F56</f>
        <v>0</v>
      </c>
      <c r="G27" s="33">
        <f>-FUNDING!G56</f>
        <v>-50000</v>
      </c>
    </row>
    <row r="28" spans="1:7" x14ac:dyDescent="0.3">
      <c r="A28" s="29" t="s">
        <v>216</v>
      </c>
      <c r="C28" s="33">
        <f>SUM(C22:C27)</f>
        <v>550000</v>
      </c>
      <c r="D28" s="33">
        <f t="shared" ref="D28:G28" si="2">SUM(D22:D27)</f>
        <v>450000</v>
      </c>
      <c r="E28" s="33">
        <f t="shared" si="2"/>
        <v>-100000</v>
      </c>
      <c r="F28" s="33">
        <f t="shared" si="2"/>
        <v>500000</v>
      </c>
      <c r="G28" s="33">
        <f t="shared" si="2"/>
        <v>-250000</v>
      </c>
    </row>
    <row r="30" spans="1:7" x14ac:dyDescent="0.3">
      <c r="A30" s="27" t="s">
        <v>226</v>
      </c>
      <c r="C30" s="39">
        <f>SUM(C15,C19,C28)</f>
        <v>390452.7142857142</v>
      </c>
      <c r="D30" s="39">
        <f t="shared" ref="D30:G30" si="3">SUM(D15,D19,D28)</f>
        <v>333230.92857142841</v>
      </c>
      <c r="E30" s="39">
        <f t="shared" si="3"/>
        <v>1588654.5285714278</v>
      </c>
      <c r="F30" s="39">
        <f t="shared" si="3"/>
        <v>7434237.542857144</v>
      </c>
      <c r="G30" s="39">
        <f t="shared" si="3"/>
        <v>15466027.857142854</v>
      </c>
    </row>
    <row r="32" spans="1:7" x14ac:dyDescent="0.3">
      <c r="A32" s="27" t="s">
        <v>228</v>
      </c>
      <c r="C32" s="33">
        <f>B33</f>
        <v>1200000</v>
      </c>
      <c r="D32" s="33">
        <f t="shared" ref="D32:G32" si="4">C33</f>
        <v>1590452.7142857141</v>
      </c>
      <c r="E32" s="33">
        <f t="shared" si="4"/>
        <v>1923683.6428571425</v>
      </c>
      <c r="F32" s="33">
        <f t="shared" si="4"/>
        <v>3512338.1714285705</v>
      </c>
      <c r="G32" s="33">
        <f t="shared" si="4"/>
        <v>10946575.714285715</v>
      </c>
    </row>
    <row r="33" spans="1:7" x14ac:dyDescent="0.3">
      <c r="A33" s="27" t="s">
        <v>227</v>
      </c>
      <c r="B33" s="33">
        <f>BALANCE!B9</f>
        <v>1200000</v>
      </c>
      <c r="C33" s="33">
        <f>SUM(C30,C32)</f>
        <v>1590452.7142857141</v>
      </c>
      <c r="D33" s="33">
        <f t="shared" ref="D33:G33" si="5">SUM(D30,D32)</f>
        <v>1923683.6428571425</v>
      </c>
      <c r="E33" s="33">
        <f t="shared" si="5"/>
        <v>3512338.1714285705</v>
      </c>
      <c r="F33" s="33">
        <f t="shared" si="5"/>
        <v>10946575.714285715</v>
      </c>
      <c r="G33" s="33">
        <f t="shared" si="5"/>
        <v>26412603.571428567</v>
      </c>
    </row>
  </sheetData>
  <sheetProtection algorithmName="SHA-512" hashValue="/4osjlO54WlTbExJ/wC9iyK9S/5D2/FU5pjQTRY6Y8BjeE3j5uITWsrFoihqnr4OD7cQO5/gJafU6l+Y3oCKHw==" saltValue="m2yVwVooSuzAZ4FMixOtLA==" spinCount="100000" sheet="1" objects="1" scenarios="1"/>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B724D-8AE9-434B-B721-215381DE1BDE}">
  <dimension ref="A2:P28"/>
  <sheetViews>
    <sheetView topLeftCell="G10" zoomScale="75" zoomScaleNormal="75" workbookViewId="0">
      <selection activeCell="S10" sqref="S10"/>
    </sheetView>
  </sheetViews>
  <sheetFormatPr baseColWidth="10" defaultRowHeight="13.5" x14ac:dyDescent="0.3"/>
  <cols>
    <col min="1" max="1" width="36.81640625" style="42" customWidth="1"/>
    <col min="2" max="2" width="16.54296875" style="42" customWidth="1"/>
    <col min="3" max="3" width="17.81640625" style="42" customWidth="1"/>
    <col min="4" max="4" width="17.08984375" style="42" customWidth="1"/>
    <col min="5" max="5" width="18.08984375" style="42" customWidth="1"/>
    <col min="6" max="6" width="17.7265625" style="42" customWidth="1"/>
    <col min="7" max="7" width="16.6328125" style="42" customWidth="1"/>
    <col min="8" max="8" width="16.7265625" style="42" customWidth="1"/>
    <col min="9" max="10" width="15.1796875" style="42" customWidth="1"/>
    <col min="11" max="11" width="17.453125" style="42" customWidth="1"/>
    <col min="12" max="12" width="14.453125" style="42" customWidth="1"/>
    <col min="13" max="13" width="17.7265625" style="42" customWidth="1"/>
    <col min="14" max="14" width="19.08984375" style="42" customWidth="1"/>
    <col min="15" max="15" width="17.1796875" style="42" customWidth="1"/>
    <col min="16" max="16384" width="10.90625" style="42"/>
  </cols>
  <sheetData>
    <row r="2" spans="1:16" s="27" customFormat="1" x14ac:dyDescent="0.3">
      <c r="A2" s="24" t="s">
        <v>303</v>
      </c>
      <c r="G2" s="41"/>
      <c r="N2" s="26" t="s">
        <v>60</v>
      </c>
      <c r="O2" s="26" t="s">
        <v>296</v>
      </c>
    </row>
    <row r="3" spans="1:16" x14ac:dyDescent="0.3">
      <c r="B3" s="26" t="s">
        <v>266</v>
      </c>
      <c r="C3" s="26" t="s">
        <v>267</v>
      </c>
      <c r="D3" s="26" t="s">
        <v>268</v>
      </c>
      <c r="E3" s="26" t="s">
        <v>287</v>
      </c>
      <c r="F3" s="26" t="s">
        <v>288</v>
      </c>
      <c r="G3" s="26" t="s">
        <v>289</v>
      </c>
      <c r="H3" s="26" t="s">
        <v>290</v>
      </c>
      <c r="I3" s="26" t="s">
        <v>291</v>
      </c>
      <c r="J3" s="26" t="s">
        <v>292</v>
      </c>
      <c r="K3" s="26" t="s">
        <v>293</v>
      </c>
      <c r="L3" s="26" t="s">
        <v>294</v>
      </c>
      <c r="M3" s="26" t="s">
        <v>295</v>
      </c>
      <c r="N3" s="43" t="s">
        <v>298</v>
      </c>
      <c r="O3" s="44" t="s">
        <v>297</v>
      </c>
    </row>
    <row r="4" spans="1:16" x14ac:dyDescent="0.3">
      <c r="A4" s="45" t="s">
        <v>0</v>
      </c>
      <c r="B4" s="46">
        <f>REVENUE!B53</f>
        <v>249067</v>
      </c>
      <c r="C4" s="46">
        <f>REVENUE!B54</f>
        <v>249067</v>
      </c>
      <c r="D4" s="46">
        <f>REVENUE!B55</f>
        <v>249067</v>
      </c>
      <c r="E4" s="46">
        <f>REVENUE!B57</f>
        <v>249067</v>
      </c>
      <c r="F4" s="46">
        <f>REVENUE!B58</f>
        <v>249067</v>
      </c>
      <c r="G4" s="46">
        <f>REVENUE!B59</f>
        <v>249067</v>
      </c>
      <c r="H4" s="46">
        <f>REVENUE!B61</f>
        <v>249067</v>
      </c>
      <c r="I4" s="46">
        <f>REVENUE!B62</f>
        <v>249067</v>
      </c>
      <c r="J4" s="46">
        <f>REVENUE!B63</f>
        <v>249366</v>
      </c>
      <c r="K4" s="46">
        <f>REVENUE!B65</f>
        <v>249366</v>
      </c>
      <c r="L4" s="46">
        <f>REVENUE!B66</f>
        <v>249366</v>
      </c>
      <c r="M4" s="46">
        <f>REVENUE!B67</f>
        <v>249366</v>
      </c>
      <c r="N4" s="47">
        <f>SUM(B4:M4)</f>
        <v>2990000</v>
      </c>
      <c r="O4" s="48">
        <f>REVENUE!B25</f>
        <v>2990000</v>
      </c>
      <c r="P4" s="51">
        <f>N4-O4</f>
        <v>0</v>
      </c>
    </row>
    <row r="5" spans="1:16" x14ac:dyDescent="0.3">
      <c r="N5" s="49"/>
      <c r="O5" s="50"/>
      <c r="P5" s="51">
        <f t="shared" ref="P5:P28" si="0">N5-O5</f>
        <v>0</v>
      </c>
    </row>
    <row r="6" spans="1:16" x14ac:dyDescent="0.3">
      <c r="A6" s="45" t="s">
        <v>15</v>
      </c>
      <c r="B6" s="51">
        <f>COST_OF_REV!$B$48*B4</f>
        <v>98872.340000000011</v>
      </c>
      <c r="C6" s="51">
        <f>COST_OF_REV!$B$48*C4</f>
        <v>98872.340000000011</v>
      </c>
      <c r="D6" s="51">
        <f>COST_OF_REV!$B$48*D4</f>
        <v>98872.340000000011</v>
      </c>
      <c r="E6" s="51">
        <f>COST_OF_REV!$B$48*E4</f>
        <v>98872.340000000011</v>
      </c>
      <c r="F6" s="51">
        <f>COST_OF_REV!$B$48*F4</f>
        <v>98872.340000000011</v>
      </c>
      <c r="G6" s="51">
        <f>COST_OF_REV!$B$48*G4</f>
        <v>98872.340000000011</v>
      </c>
      <c r="H6" s="51">
        <f>COST_OF_REV!$B$48*H4</f>
        <v>98872.340000000011</v>
      </c>
      <c r="I6" s="51">
        <f>COST_OF_REV!$B$48*I4</f>
        <v>98872.340000000011</v>
      </c>
      <c r="J6" s="51">
        <f>COST_OF_REV!$B$48*J4</f>
        <v>98991.034285714297</v>
      </c>
      <c r="K6" s="51">
        <f>COST_OF_REV!$B$48*K4</f>
        <v>98991.034285714297</v>
      </c>
      <c r="L6" s="51">
        <f>COST_OF_REV!$B$48*L4</f>
        <v>98991.034285714297</v>
      </c>
      <c r="M6" s="51">
        <f>COST_OF_REV!$B$48*M4</f>
        <v>98991.034285714297</v>
      </c>
      <c r="N6" s="52">
        <f>SUM(B6:M6)</f>
        <v>1186942.8571428573</v>
      </c>
      <c r="O6" s="53">
        <f>PL!C9</f>
        <v>1186942.8571428573</v>
      </c>
      <c r="P6" s="51">
        <f t="shared" si="0"/>
        <v>0</v>
      </c>
    </row>
    <row r="7" spans="1:16" x14ac:dyDescent="0.3">
      <c r="N7" s="49"/>
      <c r="O7" s="50"/>
      <c r="P7" s="51">
        <f t="shared" si="0"/>
        <v>0</v>
      </c>
    </row>
    <row r="8" spans="1:16" x14ac:dyDescent="0.3">
      <c r="A8" s="45" t="s">
        <v>246</v>
      </c>
      <c r="B8" s="51">
        <f>B4-B6</f>
        <v>150194.65999999997</v>
      </c>
      <c r="C8" s="51">
        <f t="shared" ref="C8:M8" si="1">C4-C6</f>
        <v>150194.65999999997</v>
      </c>
      <c r="D8" s="51">
        <f t="shared" si="1"/>
        <v>150194.65999999997</v>
      </c>
      <c r="E8" s="51">
        <f t="shared" si="1"/>
        <v>150194.65999999997</v>
      </c>
      <c r="F8" s="51">
        <f t="shared" si="1"/>
        <v>150194.65999999997</v>
      </c>
      <c r="G8" s="51">
        <f t="shared" si="1"/>
        <v>150194.65999999997</v>
      </c>
      <c r="H8" s="51">
        <f t="shared" si="1"/>
        <v>150194.65999999997</v>
      </c>
      <c r="I8" s="51">
        <f t="shared" si="1"/>
        <v>150194.65999999997</v>
      </c>
      <c r="J8" s="51">
        <f t="shared" si="1"/>
        <v>150374.9657142857</v>
      </c>
      <c r="K8" s="51">
        <f t="shared" si="1"/>
        <v>150374.9657142857</v>
      </c>
      <c r="L8" s="51">
        <f t="shared" si="1"/>
        <v>150374.9657142857</v>
      </c>
      <c r="M8" s="51">
        <f t="shared" si="1"/>
        <v>150374.9657142857</v>
      </c>
      <c r="N8" s="52">
        <f>SUM(B8:M8)</f>
        <v>1803057.142857142</v>
      </c>
      <c r="O8" s="53">
        <f>PL!C11</f>
        <v>1803057.1428571427</v>
      </c>
      <c r="P8" s="51">
        <f t="shared" si="0"/>
        <v>0</v>
      </c>
    </row>
    <row r="9" spans="1:16" x14ac:dyDescent="0.3">
      <c r="N9" s="49"/>
      <c r="O9" s="50"/>
      <c r="P9" s="51">
        <f t="shared" si="0"/>
        <v>0</v>
      </c>
    </row>
    <row r="10" spans="1:16" x14ac:dyDescent="0.3">
      <c r="A10" s="45" t="s">
        <v>284</v>
      </c>
      <c r="N10" s="49"/>
      <c r="O10" s="50"/>
      <c r="P10" s="51">
        <f t="shared" si="0"/>
        <v>0</v>
      </c>
    </row>
    <row r="11" spans="1:16" x14ac:dyDescent="0.3">
      <c r="A11" s="54" t="s">
        <v>54</v>
      </c>
      <c r="B11" s="51">
        <f>OPEX!C40</f>
        <v>21366.45</v>
      </c>
      <c r="C11" s="51">
        <f>OPEX!C41</f>
        <v>21366.45</v>
      </c>
      <c r="D11" s="51">
        <f>OPEX!C42</f>
        <v>21366.45</v>
      </c>
      <c r="E11" s="51">
        <f>OPEX!C44</f>
        <v>21366.45</v>
      </c>
      <c r="F11" s="51">
        <f>OPEX!C45</f>
        <v>21366.45</v>
      </c>
      <c r="G11" s="51">
        <f>OPEX!C46</f>
        <v>21366.45</v>
      </c>
      <c r="H11" s="51">
        <f>OPEX!C48</f>
        <v>21366.45</v>
      </c>
      <c r="I11" s="51">
        <f>OPEX!C49</f>
        <v>21366.45</v>
      </c>
      <c r="J11" s="51">
        <f>OPEX!C50</f>
        <v>21392.1</v>
      </c>
      <c r="K11" s="51">
        <f>OPEX!C52</f>
        <v>21392.1</v>
      </c>
      <c r="L11" s="51">
        <f>OPEX!C53</f>
        <v>21392.1</v>
      </c>
      <c r="M11" s="51">
        <f>OPEX!C54</f>
        <v>21392.1</v>
      </c>
      <c r="N11" s="52">
        <f>SUM(B11:M11)</f>
        <v>256500.00000000003</v>
      </c>
      <c r="O11" s="53">
        <f>PL!C14</f>
        <v>256500</v>
      </c>
      <c r="P11" s="51">
        <f t="shared" si="0"/>
        <v>0</v>
      </c>
    </row>
    <row r="12" spans="1:16" x14ac:dyDescent="0.3">
      <c r="A12" s="54" t="s">
        <v>42</v>
      </c>
      <c r="B12" s="51">
        <f>OPEX!C61</f>
        <v>74003.72</v>
      </c>
      <c r="C12" s="51">
        <f>OPEX!C62</f>
        <v>74003.72</v>
      </c>
      <c r="D12" s="51">
        <f>OPEX!C63</f>
        <v>74003.72</v>
      </c>
      <c r="E12" s="51">
        <f>OPEX!C65</f>
        <v>74003.72</v>
      </c>
      <c r="F12" s="51">
        <f>OPEX!C66</f>
        <v>74003.72</v>
      </c>
      <c r="G12" s="51">
        <f>OPEX!C67</f>
        <v>74003.72</v>
      </c>
      <c r="H12" s="51">
        <f>OPEX!C69</f>
        <v>74003.72</v>
      </c>
      <c r="I12" s="51">
        <f>OPEX!C70</f>
        <v>74003.72</v>
      </c>
      <c r="J12" s="51">
        <f>OPEX!C71</f>
        <v>74092.56</v>
      </c>
      <c r="K12" s="51">
        <f>OPEX!C73</f>
        <v>74092.56</v>
      </c>
      <c r="L12" s="51">
        <f>OPEX!C74</f>
        <v>74092.56</v>
      </c>
      <c r="M12" s="51">
        <f>OPEX!C75</f>
        <v>74092.56</v>
      </c>
      <c r="N12" s="52">
        <f>SUM(B12:M12)</f>
        <v>888400</v>
      </c>
      <c r="O12" s="53">
        <f>PL!C15</f>
        <v>888400</v>
      </c>
      <c r="P12" s="51">
        <f t="shared" si="0"/>
        <v>0</v>
      </c>
    </row>
    <row r="13" spans="1:16" x14ac:dyDescent="0.3">
      <c r="A13" s="54" t="s">
        <v>46</v>
      </c>
      <c r="B13" s="51">
        <f>OPEX!C82</f>
        <v>30962.61</v>
      </c>
      <c r="C13" s="51">
        <f>OPEX!C83</f>
        <v>30962.61</v>
      </c>
      <c r="D13" s="51">
        <f>OPEX!C84</f>
        <v>30962.61</v>
      </c>
      <c r="E13" s="51">
        <f>OPEX!C86</f>
        <v>30962.61</v>
      </c>
      <c r="F13" s="51">
        <f>OPEX!C87</f>
        <v>30962.61</v>
      </c>
      <c r="G13" s="51">
        <f>OPEX!C88</f>
        <v>30962.61</v>
      </c>
      <c r="H13" s="51">
        <f>OPEX!C90</f>
        <v>30962.61</v>
      </c>
      <c r="I13" s="51">
        <f>OPEX!C91</f>
        <v>30962.61</v>
      </c>
      <c r="J13" s="51">
        <f>OPEX!C92</f>
        <v>30999.78</v>
      </c>
      <c r="K13" s="51">
        <f>OPEX!C94</f>
        <v>30999.78</v>
      </c>
      <c r="L13" s="51">
        <f>OPEX!C95</f>
        <v>30999.78</v>
      </c>
      <c r="M13" s="51">
        <f>OPEX!C96</f>
        <v>30999.78</v>
      </c>
      <c r="N13" s="52">
        <f>SUM(B13:M13)</f>
        <v>371700</v>
      </c>
      <c r="O13" s="53">
        <f>PL!C16</f>
        <v>371700</v>
      </c>
      <c r="P13" s="51">
        <f t="shared" si="0"/>
        <v>0</v>
      </c>
    </row>
    <row r="14" spans="1:16" x14ac:dyDescent="0.3">
      <c r="A14" s="54" t="s">
        <v>189</v>
      </c>
      <c r="B14" s="51">
        <f>SUM(B11:B13)</f>
        <v>126332.78</v>
      </c>
      <c r="C14" s="51">
        <f t="shared" ref="C14:M14" si="2">SUM(C11:C13)</f>
        <v>126332.78</v>
      </c>
      <c r="D14" s="51">
        <f t="shared" si="2"/>
        <v>126332.78</v>
      </c>
      <c r="E14" s="51">
        <f t="shared" si="2"/>
        <v>126332.78</v>
      </c>
      <c r="F14" s="51">
        <f t="shared" si="2"/>
        <v>126332.78</v>
      </c>
      <c r="G14" s="51">
        <f t="shared" si="2"/>
        <v>126332.78</v>
      </c>
      <c r="H14" s="51">
        <f t="shared" si="2"/>
        <v>126332.78</v>
      </c>
      <c r="I14" s="51">
        <f t="shared" si="2"/>
        <v>126332.78</v>
      </c>
      <c r="J14" s="51">
        <f t="shared" si="2"/>
        <v>126484.44</v>
      </c>
      <c r="K14" s="51">
        <f t="shared" si="2"/>
        <v>126484.44</v>
      </c>
      <c r="L14" s="51">
        <f t="shared" si="2"/>
        <v>126484.44</v>
      </c>
      <c r="M14" s="51">
        <f t="shared" si="2"/>
        <v>126484.44</v>
      </c>
      <c r="N14" s="52">
        <f>SUM(B14:M14)</f>
        <v>1516600</v>
      </c>
      <c r="O14" s="53">
        <f>OPEX!C31</f>
        <v>1516600</v>
      </c>
      <c r="P14" s="51">
        <f t="shared" si="0"/>
        <v>0</v>
      </c>
    </row>
    <row r="15" spans="1:16" x14ac:dyDescent="0.3">
      <c r="N15" s="49"/>
      <c r="O15" s="50"/>
      <c r="P15" s="51">
        <f t="shared" si="0"/>
        <v>0</v>
      </c>
    </row>
    <row r="16" spans="1:16" x14ac:dyDescent="0.3">
      <c r="A16" s="55" t="s">
        <v>299</v>
      </c>
      <c r="B16" s="51">
        <f>B8-B14</f>
        <v>23861.879999999976</v>
      </c>
      <c r="C16" s="51">
        <f t="shared" ref="C16:M16" si="3">C8-C14</f>
        <v>23861.879999999976</v>
      </c>
      <c r="D16" s="51">
        <f t="shared" si="3"/>
        <v>23861.879999999976</v>
      </c>
      <c r="E16" s="51">
        <f t="shared" si="3"/>
        <v>23861.879999999976</v>
      </c>
      <c r="F16" s="51">
        <f t="shared" si="3"/>
        <v>23861.879999999976</v>
      </c>
      <c r="G16" s="51">
        <f t="shared" si="3"/>
        <v>23861.879999999976</v>
      </c>
      <c r="H16" s="51">
        <f t="shared" si="3"/>
        <v>23861.879999999976</v>
      </c>
      <c r="I16" s="51">
        <f t="shared" si="3"/>
        <v>23861.879999999976</v>
      </c>
      <c r="J16" s="51">
        <f t="shared" si="3"/>
        <v>23890.525714285701</v>
      </c>
      <c r="K16" s="51">
        <f t="shared" si="3"/>
        <v>23890.525714285701</v>
      </c>
      <c r="L16" s="51">
        <f t="shared" si="3"/>
        <v>23890.525714285701</v>
      </c>
      <c r="M16" s="51">
        <f t="shared" si="3"/>
        <v>23890.525714285701</v>
      </c>
      <c r="N16" s="52">
        <f>SUM(B16:M16)</f>
        <v>286457.14285714261</v>
      </c>
      <c r="O16" s="53">
        <f>PL!C19</f>
        <v>286457.14285714272</v>
      </c>
      <c r="P16" s="51">
        <f t="shared" si="0"/>
        <v>0</v>
      </c>
    </row>
    <row r="17" spans="1:16" x14ac:dyDescent="0.3">
      <c r="N17" s="49"/>
      <c r="O17" s="50"/>
      <c r="P17" s="51">
        <f t="shared" si="0"/>
        <v>0</v>
      </c>
    </row>
    <row r="18" spans="1:16" x14ac:dyDescent="0.3">
      <c r="A18" s="45" t="s">
        <v>190</v>
      </c>
      <c r="B18" s="51">
        <f>EXTRA!C23</f>
        <v>-9800</v>
      </c>
      <c r="C18" s="51">
        <f>EXTRA!C24</f>
        <v>0</v>
      </c>
      <c r="D18" s="51">
        <f>EXTRA!C25</f>
        <v>0</v>
      </c>
      <c r="E18" s="51">
        <f>EXTRA!C27</f>
        <v>0</v>
      </c>
      <c r="F18" s="51">
        <f>EXTRA!C28</f>
        <v>0</v>
      </c>
      <c r="G18" s="51">
        <f>EXTRA!C29</f>
        <v>0</v>
      </c>
      <c r="H18" s="51">
        <f>EXTRA!C31</f>
        <v>0</v>
      </c>
      <c r="I18" s="51">
        <f>EXTRA!C32</f>
        <v>0</v>
      </c>
      <c r="J18" s="51">
        <f>EXTRA!C33</f>
        <v>0</v>
      </c>
      <c r="K18" s="51">
        <f>EXTRA!C35</f>
        <v>0</v>
      </c>
      <c r="L18" s="51">
        <f>EXTRA!C36</f>
        <v>0</v>
      </c>
      <c r="M18" s="51">
        <f>EXTRA!C37</f>
        <v>0</v>
      </c>
      <c r="N18" s="52">
        <f>SUM(B18:M18)</f>
        <v>-9800</v>
      </c>
      <c r="O18" s="56">
        <f>PL!C21</f>
        <v>-9800</v>
      </c>
      <c r="P18" s="51">
        <f t="shared" si="0"/>
        <v>0</v>
      </c>
    </row>
    <row r="19" spans="1:16" x14ac:dyDescent="0.3">
      <c r="N19" s="49"/>
      <c r="O19" s="50"/>
      <c r="P19" s="51">
        <f t="shared" si="0"/>
        <v>0</v>
      </c>
    </row>
    <row r="20" spans="1:16" x14ac:dyDescent="0.3">
      <c r="A20" s="45" t="s">
        <v>285</v>
      </c>
      <c r="B20" s="51">
        <f>B16+B18</f>
        <v>14061.879999999976</v>
      </c>
      <c r="C20" s="51">
        <f t="shared" ref="C20:M20" si="4">C16+C18</f>
        <v>23861.879999999976</v>
      </c>
      <c r="D20" s="51">
        <f t="shared" si="4"/>
        <v>23861.879999999976</v>
      </c>
      <c r="E20" s="51">
        <f t="shared" si="4"/>
        <v>23861.879999999976</v>
      </c>
      <c r="F20" s="51">
        <f t="shared" si="4"/>
        <v>23861.879999999976</v>
      </c>
      <c r="G20" s="51">
        <f t="shared" si="4"/>
        <v>23861.879999999976</v>
      </c>
      <c r="H20" s="51">
        <f t="shared" si="4"/>
        <v>23861.879999999976</v>
      </c>
      <c r="I20" s="51">
        <f t="shared" si="4"/>
        <v>23861.879999999976</v>
      </c>
      <c r="J20" s="51">
        <f t="shared" si="4"/>
        <v>23890.525714285701</v>
      </c>
      <c r="K20" s="51">
        <f t="shared" si="4"/>
        <v>23890.525714285701</v>
      </c>
      <c r="L20" s="51">
        <f t="shared" si="4"/>
        <v>23890.525714285701</v>
      </c>
      <c r="M20" s="51">
        <f t="shared" si="4"/>
        <v>23890.525714285701</v>
      </c>
      <c r="N20" s="52">
        <f>SUM(B20:M20)</f>
        <v>276657.14285714261</v>
      </c>
      <c r="O20" s="53">
        <f>PL!C23</f>
        <v>276657.14285714272</v>
      </c>
      <c r="P20" s="51">
        <f t="shared" si="0"/>
        <v>0</v>
      </c>
    </row>
    <row r="21" spans="1:16" x14ac:dyDescent="0.3">
      <c r="N21" s="49"/>
      <c r="O21" s="50"/>
      <c r="P21" s="51">
        <f t="shared" si="0"/>
        <v>0</v>
      </c>
    </row>
    <row r="22" spans="1:16" x14ac:dyDescent="0.3">
      <c r="A22" s="45" t="s">
        <v>286</v>
      </c>
      <c r="B22" s="42">
        <f>(FUNDING!$C$52-FUNDING!$C$48)/12</f>
        <v>-500</v>
      </c>
      <c r="C22" s="42">
        <f>(FUNDING!$C$52-FUNDING!$C$48)/12</f>
        <v>-500</v>
      </c>
      <c r="D22" s="42">
        <f>(FUNDING!$C$52-FUNDING!$C$48)/12</f>
        <v>-500</v>
      </c>
      <c r="E22" s="42">
        <f>(FUNDING!$C$52-FUNDING!$C$48)/12</f>
        <v>-500</v>
      </c>
      <c r="F22" s="42">
        <f>(FUNDING!$C$52-FUNDING!$C$48)/12</f>
        <v>-500</v>
      </c>
      <c r="G22" s="42">
        <f>(FUNDING!$C$52-FUNDING!$C$48)/12</f>
        <v>-500</v>
      </c>
      <c r="H22" s="42">
        <f>(FUNDING!$C$52-FUNDING!$C$48)/12</f>
        <v>-500</v>
      </c>
      <c r="I22" s="42">
        <f>(FUNDING!$C$52-FUNDING!$C$48)/12</f>
        <v>-500</v>
      </c>
      <c r="J22" s="42">
        <f>(FUNDING!$C$52-FUNDING!$C$48)/12</f>
        <v>-500</v>
      </c>
      <c r="K22" s="42">
        <f>(FUNDING!$C$52-FUNDING!$C$48)/12</f>
        <v>-500</v>
      </c>
      <c r="L22" s="42">
        <f>(FUNDING!$C$52-FUNDING!$C$48)/12</f>
        <v>-500</v>
      </c>
      <c r="M22" s="42">
        <f>(FUNDING!$C$52-FUNDING!$C$48)/12</f>
        <v>-500</v>
      </c>
      <c r="N22" s="47">
        <f>SUM(B22:M22)</f>
        <v>-6000</v>
      </c>
      <c r="O22" s="53">
        <f>PL!C25</f>
        <v>-6000</v>
      </c>
      <c r="P22" s="51">
        <f t="shared" si="0"/>
        <v>0</v>
      </c>
    </row>
    <row r="23" spans="1:16" x14ac:dyDescent="0.3">
      <c r="N23" s="49"/>
      <c r="O23" s="50"/>
      <c r="P23" s="51">
        <f t="shared" si="0"/>
        <v>0</v>
      </c>
    </row>
    <row r="24" spans="1:16" x14ac:dyDescent="0.3">
      <c r="A24" s="45" t="s">
        <v>301</v>
      </c>
      <c r="B24" s="51">
        <f>SUM(B20,B22)</f>
        <v>13561.879999999976</v>
      </c>
      <c r="C24" s="51">
        <f t="shared" ref="C24:M24" si="5">SUM(C20,C22)</f>
        <v>23361.879999999976</v>
      </c>
      <c r="D24" s="51">
        <f t="shared" si="5"/>
        <v>23361.879999999976</v>
      </c>
      <c r="E24" s="51">
        <f t="shared" si="5"/>
        <v>23361.879999999976</v>
      </c>
      <c r="F24" s="51">
        <f t="shared" si="5"/>
        <v>23361.879999999976</v>
      </c>
      <c r="G24" s="51">
        <f t="shared" si="5"/>
        <v>23361.879999999976</v>
      </c>
      <c r="H24" s="51">
        <f t="shared" si="5"/>
        <v>23361.879999999976</v>
      </c>
      <c r="I24" s="51">
        <f t="shared" si="5"/>
        <v>23361.879999999976</v>
      </c>
      <c r="J24" s="51">
        <f t="shared" si="5"/>
        <v>23390.525714285701</v>
      </c>
      <c r="K24" s="51">
        <f t="shared" si="5"/>
        <v>23390.525714285701</v>
      </c>
      <c r="L24" s="51">
        <f t="shared" si="5"/>
        <v>23390.525714285701</v>
      </c>
      <c r="M24" s="51">
        <f t="shared" si="5"/>
        <v>23390.525714285701</v>
      </c>
      <c r="N24" s="52">
        <f>SUM(B24:M24)</f>
        <v>270657.14285714261</v>
      </c>
      <c r="O24" s="53">
        <f>PL!C27</f>
        <v>270657.14285714272</v>
      </c>
      <c r="P24" s="51">
        <f t="shared" si="0"/>
        <v>0</v>
      </c>
    </row>
    <row r="25" spans="1:16" x14ac:dyDescent="0.3">
      <c r="N25" s="49"/>
      <c r="O25" s="50"/>
      <c r="P25" s="51">
        <f t="shared" si="0"/>
        <v>0</v>
      </c>
    </row>
    <row r="26" spans="1:16" x14ac:dyDescent="0.3">
      <c r="A26" s="45" t="s">
        <v>147</v>
      </c>
      <c r="B26" s="46">
        <f>-IF(TAX!$C10&gt;=0,IF(TAX!$C11&lt;=TAX!$C10,(TAX!$C8*B24)*TAX!$C11/TAX!$C10,TAX!$C8*B24),0)</f>
        <v>-3390.4699999999939</v>
      </c>
      <c r="C26" s="46">
        <f>-IF(TAX!$C10&gt;=0,IF(TAX!$C11&lt;=TAX!$C10,(TAX!$C8*C24)*TAX!$C11/TAX!$C10,TAX!$C8*C24),0)</f>
        <v>-5840.4699999999939</v>
      </c>
      <c r="D26" s="46">
        <f>-IF(TAX!$C10&gt;=0,IF(TAX!$C11&lt;=TAX!$C10,(TAX!$C8*D24)*TAX!$C11/TAX!$C10,TAX!$C8*D24),0)</f>
        <v>-5840.4699999999939</v>
      </c>
      <c r="E26" s="46">
        <f>-IF(TAX!$C10&gt;=0,IF(TAX!$C11&lt;=TAX!$C10,(TAX!$C8*E24)*TAX!$C11/TAX!$C10,TAX!$C8*E24),0)</f>
        <v>-5840.4699999999939</v>
      </c>
      <c r="F26" s="46">
        <f>-IF(TAX!$C10&gt;=0,IF(TAX!$C11&lt;=TAX!$C10,(TAX!$C8*F24)*TAX!$C11/TAX!$C10,TAX!$C8*F24),0)</f>
        <v>-5840.4699999999939</v>
      </c>
      <c r="G26" s="46">
        <f>-IF(TAX!$C10&gt;=0,IF(TAX!$C11&lt;=TAX!$C10,(TAX!$C8*G24)*TAX!$C11/TAX!$C10,TAX!$C8*G24),0)</f>
        <v>-5840.4699999999939</v>
      </c>
      <c r="H26" s="46">
        <f>-IF(TAX!$C10&gt;=0,IF(TAX!$C11&lt;=TAX!$C10,(TAX!$C8*H24)*TAX!$C11/TAX!$C10,TAX!$C8*H24),0)</f>
        <v>-5840.4699999999939</v>
      </c>
      <c r="I26" s="46">
        <f>-IF(TAX!$C10&gt;=0,IF(TAX!$C11&lt;=TAX!$C10,(TAX!$C8*I24)*TAX!$C11/TAX!$C10,TAX!$C8*I24),0)</f>
        <v>-5840.4699999999939</v>
      </c>
      <c r="J26" s="46">
        <f>-IF(TAX!$C10&gt;=0,IF(TAX!$C11&lt;=TAX!$C10,(TAX!$C8*J24)*TAX!$C11/TAX!$C10,TAX!$C8*J24),0)</f>
        <v>-5847.6314285714252</v>
      </c>
      <c r="K26" s="46">
        <f>-IF(TAX!$C10&gt;=0,IF(TAX!$C11&lt;=TAX!$C10,(TAX!$C8*K24)*TAX!$C11/TAX!$C10,TAX!$C8*K24),0)</f>
        <v>-5847.6314285714252</v>
      </c>
      <c r="L26" s="46">
        <f>-IF(TAX!$C10&gt;=0,IF(TAX!$C11&lt;=TAX!$C10,(TAX!$C8*L24)*TAX!$C11/TAX!$C10,TAX!$C8*L24),0)</f>
        <v>-5847.6314285714252</v>
      </c>
      <c r="M26" s="46">
        <f>-IF(TAX!$C10&gt;=0,IF(TAX!$C11&lt;=TAX!$C10,(TAX!$C8*M24)*TAX!$C11/TAX!$C10,TAX!$C8*M24),0)</f>
        <v>-5847.6314285714252</v>
      </c>
      <c r="N26" s="52">
        <f>SUM(B26:M26)</f>
        <v>-67664.285714285652</v>
      </c>
      <c r="O26" s="53">
        <f>PL!C29</f>
        <v>-67664.285714285681</v>
      </c>
      <c r="P26" s="51">
        <f t="shared" si="0"/>
        <v>0</v>
      </c>
    </row>
    <row r="27" spans="1:16" x14ac:dyDescent="0.3">
      <c r="N27" s="49"/>
      <c r="O27" s="50"/>
      <c r="P27" s="51">
        <f t="shared" si="0"/>
        <v>0</v>
      </c>
    </row>
    <row r="28" spans="1:16" x14ac:dyDescent="0.3">
      <c r="A28" s="45" t="s">
        <v>302</v>
      </c>
      <c r="B28" s="51">
        <f>SUM(B24,B26)</f>
        <v>10171.409999999982</v>
      </c>
      <c r="C28" s="51">
        <f t="shared" ref="C28:M28" si="6">SUM(C24,C26)</f>
        <v>17521.409999999982</v>
      </c>
      <c r="D28" s="51">
        <f t="shared" si="6"/>
        <v>17521.409999999982</v>
      </c>
      <c r="E28" s="51">
        <f t="shared" si="6"/>
        <v>17521.409999999982</v>
      </c>
      <c r="F28" s="51">
        <f t="shared" si="6"/>
        <v>17521.409999999982</v>
      </c>
      <c r="G28" s="51">
        <f t="shared" si="6"/>
        <v>17521.409999999982</v>
      </c>
      <c r="H28" s="51">
        <f t="shared" si="6"/>
        <v>17521.409999999982</v>
      </c>
      <c r="I28" s="51">
        <f t="shared" si="6"/>
        <v>17521.409999999982</v>
      </c>
      <c r="J28" s="51">
        <f t="shared" si="6"/>
        <v>17542.894285714276</v>
      </c>
      <c r="K28" s="51">
        <f t="shared" si="6"/>
        <v>17542.894285714276</v>
      </c>
      <c r="L28" s="51">
        <f t="shared" si="6"/>
        <v>17542.894285714276</v>
      </c>
      <c r="M28" s="51">
        <f t="shared" si="6"/>
        <v>17542.894285714276</v>
      </c>
      <c r="N28" s="52">
        <f>SUM(B28:M28)</f>
        <v>202992.85714285696</v>
      </c>
      <c r="O28" s="53">
        <f>PL!C31</f>
        <v>202992.85714285704</v>
      </c>
      <c r="P28" s="51">
        <f t="shared" si="0"/>
        <v>0</v>
      </c>
    </row>
  </sheetData>
  <sheetProtection sheet="1" objects="1" scenarios="1" selectLockedCells="1" selectUnlockedCells="1"/>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P31"/>
  <sheetViews>
    <sheetView topLeftCell="F1" zoomScale="70" zoomScaleNormal="70" workbookViewId="0">
      <selection activeCell="S8" sqref="S8"/>
    </sheetView>
  </sheetViews>
  <sheetFormatPr baseColWidth="10" defaultRowHeight="13.5" x14ac:dyDescent="0.3"/>
  <cols>
    <col min="1" max="1" width="40.08984375" style="42" customWidth="1"/>
    <col min="2" max="2" width="18.90625" style="42" customWidth="1"/>
    <col min="3" max="3" width="16.7265625" style="42" customWidth="1"/>
    <col min="4" max="4" width="17.7265625" style="42" customWidth="1"/>
    <col min="5" max="6" width="17.453125" style="42" customWidth="1"/>
    <col min="7" max="7" width="16.453125" style="42" customWidth="1"/>
    <col min="8" max="8" width="17.36328125" style="42" customWidth="1"/>
    <col min="9" max="9" width="16.36328125" style="42" customWidth="1"/>
    <col min="10" max="10" width="17.08984375" style="42" customWidth="1"/>
    <col min="11" max="11" width="16.36328125" style="42" customWidth="1"/>
    <col min="12" max="12" width="17" style="42" customWidth="1"/>
    <col min="13" max="13" width="17.7265625" style="42" customWidth="1"/>
    <col min="14" max="14" width="16" style="42" customWidth="1"/>
    <col min="15" max="15" width="18.26953125" style="42" customWidth="1"/>
    <col min="16" max="16384" width="10.90625" style="42"/>
  </cols>
  <sheetData>
    <row r="2" spans="1:16" x14ac:dyDescent="0.3">
      <c r="A2" s="24" t="s">
        <v>304</v>
      </c>
      <c r="B2" s="27"/>
      <c r="C2" s="27"/>
      <c r="D2" s="27"/>
      <c r="E2" s="27"/>
      <c r="F2" s="27"/>
      <c r="G2" s="41"/>
      <c r="H2" s="27"/>
      <c r="I2" s="27"/>
      <c r="J2" s="27"/>
      <c r="K2" s="27"/>
      <c r="L2" s="27"/>
      <c r="M2" s="27"/>
      <c r="N2" s="26" t="s">
        <v>60</v>
      </c>
      <c r="O2" s="26" t="s">
        <v>296</v>
      </c>
    </row>
    <row r="3" spans="1:16" ht="14" thickBot="1" x14ac:dyDescent="0.35">
      <c r="B3" s="57" t="s">
        <v>266</v>
      </c>
      <c r="C3" s="57" t="s">
        <v>267</v>
      </c>
      <c r="D3" s="57" t="s">
        <v>268</v>
      </c>
      <c r="E3" s="57" t="s">
        <v>287</v>
      </c>
      <c r="F3" s="57" t="s">
        <v>288</v>
      </c>
      <c r="G3" s="57" t="s">
        <v>289</v>
      </c>
      <c r="H3" s="57" t="s">
        <v>290</v>
      </c>
      <c r="I3" s="57" t="s">
        <v>291</v>
      </c>
      <c r="J3" s="57" t="s">
        <v>292</v>
      </c>
      <c r="K3" s="57" t="s">
        <v>293</v>
      </c>
      <c r="L3" s="57" t="s">
        <v>294</v>
      </c>
      <c r="M3" s="57" t="s">
        <v>295</v>
      </c>
      <c r="N3" s="58" t="s">
        <v>298</v>
      </c>
      <c r="O3" s="59" t="s">
        <v>297</v>
      </c>
    </row>
    <row r="4" spans="1:16" x14ac:dyDescent="0.3">
      <c r="A4" s="45" t="s">
        <v>214</v>
      </c>
      <c r="N4" s="60"/>
      <c r="O4" s="61"/>
    </row>
    <row r="5" spans="1:16" x14ac:dyDescent="0.3">
      <c r="A5" s="54" t="s">
        <v>302</v>
      </c>
      <c r="B5" s="51">
        <f>PL_INTRAYEAR!B28</f>
        <v>10171.409999999982</v>
      </c>
      <c r="C5" s="51">
        <f>PL_INTRAYEAR!C28</f>
        <v>17521.409999999982</v>
      </c>
      <c r="D5" s="51">
        <f>PL_INTRAYEAR!D28</f>
        <v>17521.409999999982</v>
      </c>
      <c r="E5" s="51">
        <f>PL_INTRAYEAR!E28</f>
        <v>17521.409999999982</v>
      </c>
      <c r="F5" s="51">
        <f>PL_INTRAYEAR!F28</f>
        <v>17521.409999999982</v>
      </c>
      <c r="G5" s="51">
        <f>PL_INTRAYEAR!G28</f>
        <v>17521.409999999982</v>
      </c>
      <c r="H5" s="51">
        <f>PL_INTRAYEAR!H28</f>
        <v>17521.409999999982</v>
      </c>
      <c r="I5" s="51">
        <f>PL_INTRAYEAR!I28</f>
        <v>17521.409999999982</v>
      </c>
      <c r="J5" s="51">
        <f>PL_INTRAYEAR!J28</f>
        <v>17542.894285714276</v>
      </c>
      <c r="K5" s="51">
        <f>PL_INTRAYEAR!K28</f>
        <v>17542.894285714276</v>
      </c>
      <c r="L5" s="51">
        <f>PL_INTRAYEAR!L28</f>
        <v>17542.894285714276</v>
      </c>
      <c r="M5" s="51">
        <f>PL_INTRAYEAR!M28</f>
        <v>17542.894285714276</v>
      </c>
      <c r="N5" s="62">
        <f>SUM(B5:M5)</f>
        <v>202992.85714285696</v>
      </c>
      <c r="O5" s="63">
        <f>CASHFLOW!C7</f>
        <v>202992.85714285704</v>
      </c>
      <c r="P5" s="51">
        <f>N5-O5</f>
        <v>0</v>
      </c>
    </row>
    <row r="6" spans="1:16" x14ac:dyDescent="0.3">
      <c r="A6" s="54" t="s">
        <v>24</v>
      </c>
      <c r="B6" s="51">
        <f>CAPEX!$C$45/12</f>
        <v>3511.9047619047619</v>
      </c>
      <c r="C6" s="51">
        <f>CAPEX!$C$45/12</f>
        <v>3511.9047619047619</v>
      </c>
      <c r="D6" s="51">
        <f>CAPEX!$C$45/12</f>
        <v>3511.9047619047619</v>
      </c>
      <c r="E6" s="51">
        <f>CAPEX!$C$45/12</f>
        <v>3511.9047619047619</v>
      </c>
      <c r="F6" s="51">
        <f>CAPEX!$C$45/12</f>
        <v>3511.9047619047619</v>
      </c>
      <c r="G6" s="51">
        <f>CAPEX!$C$45/12</f>
        <v>3511.9047619047619</v>
      </c>
      <c r="H6" s="51">
        <f>CAPEX!$C$45/12</f>
        <v>3511.9047619047619</v>
      </c>
      <c r="I6" s="51">
        <f>CAPEX!$C$45/12</f>
        <v>3511.9047619047619</v>
      </c>
      <c r="J6" s="51">
        <f>CAPEX!$C$45/12</f>
        <v>3511.9047619047619</v>
      </c>
      <c r="K6" s="51">
        <f>CAPEX!$C$45/12</f>
        <v>3511.9047619047619</v>
      </c>
      <c r="L6" s="51">
        <f>CAPEX!$C$45/12</f>
        <v>3511.9047619047619</v>
      </c>
      <c r="M6" s="51">
        <f>CAPEX!$C$45/12</f>
        <v>3511.9047619047619</v>
      </c>
      <c r="N6" s="62">
        <f>SUM(B6:M6)</f>
        <v>42142.857142857152</v>
      </c>
      <c r="O6" s="63">
        <f>CAPEX!C45</f>
        <v>42142.857142857145</v>
      </c>
      <c r="P6" s="51">
        <f t="shared" ref="P6:P28" si="0">N6-O6</f>
        <v>0</v>
      </c>
    </row>
    <row r="7" spans="1:16" x14ac:dyDescent="0.3">
      <c r="A7" s="64" t="s">
        <v>310</v>
      </c>
      <c r="N7" s="60"/>
      <c r="O7" s="61"/>
      <c r="P7" s="51">
        <f t="shared" si="0"/>
        <v>0</v>
      </c>
    </row>
    <row r="8" spans="1:16" x14ac:dyDescent="0.3">
      <c r="A8" s="65" t="s">
        <v>305</v>
      </c>
      <c r="B8" s="51">
        <f>-WORKINGCAPITAL!C43</f>
        <v>-207555.83333333334</v>
      </c>
      <c r="C8" s="51">
        <f>-(WORKINGCAPITAL!$C44-WORKINGCAPITAL!$C43)</f>
        <v>0</v>
      </c>
      <c r="D8" s="51">
        <f>-(WORKINGCAPITAL!$C45-WORKINGCAPITAL!$C44)</f>
        <v>0</v>
      </c>
      <c r="E8" s="51">
        <f>(WORKINGCAPITAL!$C46-WORKINGCAPITAL!$C45)</f>
        <v>0</v>
      </c>
      <c r="F8" s="51">
        <f>-(WORKINGCAPITAL!$C47-WORKINGCAPITAL!$C46)</f>
        <v>0</v>
      </c>
      <c r="G8" s="51">
        <f>(WORKINGCAPITAL!$C48-WORKINGCAPITAL!$C47)</f>
        <v>0</v>
      </c>
      <c r="H8" s="51">
        <f>-(WORKINGCAPITAL!$C49-WORKINGCAPITAL!$C48)</f>
        <v>0</v>
      </c>
      <c r="I8" s="51">
        <f>-(WORKINGCAPITAL!C50-WORKINGCAPITAL!C49)</f>
        <v>0</v>
      </c>
      <c r="J8" s="51">
        <f>-(WORKINGCAPITAL!$C51-WORKINGCAPITAL!$C50)</f>
        <v>-249.16666666665697</v>
      </c>
      <c r="K8" s="51">
        <f>-(WORKINGCAPITAL!$C52-WORKINGCAPITAL!$C51)</f>
        <v>0</v>
      </c>
      <c r="L8" s="51">
        <f>-(WORKINGCAPITAL!$C53-WORKINGCAPITAL!$C52)</f>
        <v>0</v>
      </c>
      <c r="M8" s="51">
        <f>-(WORKINGCAPITAL!C54-WORKINGCAPITAL!C53)</f>
        <v>0</v>
      </c>
      <c r="N8" s="62">
        <f t="shared" ref="N8:N13" si="1">SUM(B8:M8)</f>
        <v>-207805</v>
      </c>
      <c r="O8" s="66">
        <f>CASHFLOW!C10</f>
        <v>-207805</v>
      </c>
      <c r="P8" s="51">
        <f t="shared" si="0"/>
        <v>0</v>
      </c>
    </row>
    <row r="9" spans="1:16" x14ac:dyDescent="0.3">
      <c r="A9" s="65" t="s">
        <v>306</v>
      </c>
      <c r="B9" s="51">
        <f>-WORKINGCAPITAL!C59</f>
        <v>-166044.66666666666</v>
      </c>
      <c r="C9" s="51">
        <f>-(WORKINGCAPITAL!$C60-WORKINGCAPITAL!$C59)</f>
        <v>0</v>
      </c>
      <c r="D9" s="51">
        <f>-(WORKINGCAPITAL!$C61-WORKINGCAPITAL!$C60)</f>
        <v>0</v>
      </c>
      <c r="E9" s="51">
        <f>(WORKINGCAPITAL!$C62-WORKINGCAPITAL!$C61)</f>
        <v>0</v>
      </c>
      <c r="F9" s="51">
        <f>-(WORKINGCAPITAL!$C63-WORKINGCAPITAL!$C62)</f>
        <v>0</v>
      </c>
      <c r="G9" s="51">
        <f>(WORKINGCAPITAL!$C64-WORKINGCAPITAL!$C63)</f>
        <v>0</v>
      </c>
      <c r="H9" s="51">
        <f>-(WORKINGCAPITAL!$C65-WORKINGCAPITAL!$C64)</f>
        <v>0</v>
      </c>
      <c r="I9" s="51">
        <f>-(WORKINGCAPITAL!C66-WORKINGCAPITAL!C65)</f>
        <v>0</v>
      </c>
      <c r="J9" s="51">
        <f>-(WORKINGCAPITAL!$C67-WORKINGCAPITAL!$C66)</f>
        <v>-199.33333333334303</v>
      </c>
      <c r="K9" s="51">
        <f>-(WORKINGCAPITAL!$C68-WORKINGCAPITAL!$C67)</f>
        <v>0</v>
      </c>
      <c r="L9" s="51">
        <f>-(WORKINGCAPITAL!$C69-WORKINGCAPITAL!$C68)</f>
        <v>0</v>
      </c>
      <c r="M9" s="51">
        <f>-(WORKINGCAPITAL!C70-WORKINGCAPITAL!C69)</f>
        <v>0</v>
      </c>
      <c r="N9" s="62">
        <f t="shared" si="1"/>
        <v>-166244</v>
      </c>
      <c r="O9" s="63">
        <f>CASHFLOW!C11</f>
        <v>-166244</v>
      </c>
      <c r="P9" s="51">
        <f t="shared" si="0"/>
        <v>0</v>
      </c>
    </row>
    <row r="10" spans="1:16" x14ac:dyDescent="0.3">
      <c r="A10" s="65" t="s">
        <v>307</v>
      </c>
      <c r="B10" s="51">
        <f>-WORKINGCAPITAL!C75</f>
        <v>-33208.933333333334</v>
      </c>
      <c r="C10" s="51">
        <f>-(WORKINGCAPITAL!C76-WORKINGCAPITAL!C75)</f>
        <v>0</v>
      </c>
      <c r="D10" s="51">
        <f>-(WORKINGCAPITAL!C77-WORKINGCAPITAL!C76)</f>
        <v>0</v>
      </c>
      <c r="E10" s="51">
        <f>-(WORKINGCAPITAL!C78-WORKINGCAPITAL!C77)</f>
        <v>0</v>
      </c>
      <c r="F10" s="51">
        <f>-(WORKINGCAPITAL!C79-WORKINGCAPITAL!C78)</f>
        <v>0</v>
      </c>
      <c r="G10" s="51">
        <f>-(WORKINGCAPITAL!C80-WORKINGCAPITAL!C79)</f>
        <v>0</v>
      </c>
      <c r="H10" s="51">
        <f>-(WORKINGCAPITAL!C81-WORKINGCAPITAL!C80)</f>
        <v>0</v>
      </c>
      <c r="I10" s="51">
        <f>-(WORKINGCAPITAL!C82-WORKINGCAPITAL!C81)</f>
        <v>0</v>
      </c>
      <c r="J10" s="51">
        <f>-(WORKINGCAPITAL!C83-WORKINGCAPITAL!C82)</f>
        <v>-39.866666666668607</v>
      </c>
      <c r="K10" s="51">
        <f>-(WORKINGCAPITAL!C84-WORKINGCAPITAL!C83)</f>
        <v>0</v>
      </c>
      <c r="L10" s="51">
        <f>-(WORKINGCAPITAL!C85-WORKINGCAPITAL!C84)</f>
        <v>0</v>
      </c>
      <c r="M10" s="51">
        <f>-(WORKINGCAPITAL!C86-WORKINGCAPITAL!C85)</f>
        <v>0</v>
      </c>
      <c r="N10" s="62">
        <f t="shared" si="1"/>
        <v>-33248.800000000003</v>
      </c>
      <c r="O10" s="63">
        <f>CASHFLOW!C12</f>
        <v>-33248.800000000003</v>
      </c>
      <c r="P10" s="51">
        <f t="shared" si="0"/>
        <v>0</v>
      </c>
    </row>
    <row r="11" spans="1:16" x14ac:dyDescent="0.3">
      <c r="A11" s="65" t="s">
        <v>308</v>
      </c>
      <c r="B11" s="51">
        <f>WORKINGCAPITAL!C91</f>
        <v>249067</v>
      </c>
      <c r="C11" s="51">
        <f>(WORKINGCAPITAL!C92-WORKINGCAPITAL!C91)</f>
        <v>0</v>
      </c>
      <c r="D11" s="51">
        <f>(WORKINGCAPITAL!C93-WORKINGCAPITAL!C92)</f>
        <v>0</v>
      </c>
      <c r="E11" s="51">
        <f>(WORKINGCAPITAL!C94-WORKINGCAPITAL!C93)</f>
        <v>0</v>
      </c>
      <c r="F11" s="51">
        <f>(WORKINGCAPITAL!C95-WORKINGCAPITAL!C94)</f>
        <v>0</v>
      </c>
      <c r="G11" s="51">
        <f>(WORKINGCAPITAL!C96-WORKINGCAPITAL!C95)</f>
        <v>0</v>
      </c>
      <c r="H11" s="51">
        <f>(WORKINGCAPITAL!C97-WORKINGCAPITAL!C96)</f>
        <v>0</v>
      </c>
      <c r="I11" s="51">
        <f>(WORKINGCAPITAL!C98-WORKINGCAPITAL!C97)</f>
        <v>0</v>
      </c>
      <c r="J11" s="51">
        <f>(WORKINGCAPITAL!C99-WORKINGCAPITAL!C98)</f>
        <v>299</v>
      </c>
      <c r="K11" s="51">
        <f>(WORKINGCAPITAL!C100-WORKINGCAPITAL!C99)</f>
        <v>0</v>
      </c>
      <c r="L11" s="51">
        <f>(WORKINGCAPITAL!C101-WORKINGCAPITAL!C100)</f>
        <v>0</v>
      </c>
      <c r="M11" s="51">
        <f>(WORKINGCAPITAL!C102-WORKINGCAPITAL!C101)</f>
        <v>0</v>
      </c>
      <c r="N11" s="62">
        <f t="shared" si="1"/>
        <v>249366</v>
      </c>
      <c r="O11" s="63">
        <f>CASHFLOW!C13</f>
        <v>249366</v>
      </c>
      <c r="P11" s="51">
        <f t="shared" si="0"/>
        <v>0</v>
      </c>
    </row>
    <row r="12" spans="1:16" x14ac:dyDescent="0.3">
      <c r="A12" s="65" t="s">
        <v>309</v>
      </c>
      <c r="B12" s="51">
        <f>WORKINGCAPITAL!C107</f>
        <v>33208.933333333334</v>
      </c>
      <c r="C12" s="51">
        <f>(WORKINGCAPITAL!C108-WORKINGCAPITAL!C107)</f>
        <v>0</v>
      </c>
      <c r="D12" s="51">
        <f>(WORKINGCAPITAL!C109-WORKINGCAPITAL!C108)</f>
        <v>0</v>
      </c>
      <c r="E12" s="51">
        <f>(WORKINGCAPITAL!C110-WORKINGCAPITAL!C109)</f>
        <v>0</v>
      </c>
      <c r="F12" s="51">
        <f>(WORKINGCAPITAL!C111-WORKINGCAPITAL!C110)</f>
        <v>0</v>
      </c>
      <c r="G12" s="51">
        <f>(WORKINGCAPITAL!C112-WORKINGCAPITAL!C111)</f>
        <v>0</v>
      </c>
      <c r="H12" s="51">
        <f>(WORKINGCAPITAL!C113-WORKINGCAPITAL!C112)</f>
        <v>0</v>
      </c>
      <c r="I12" s="51">
        <f>(WORKINGCAPITAL!C114-WORKINGCAPITAL!C113)</f>
        <v>0</v>
      </c>
      <c r="J12" s="51">
        <f>(WORKINGCAPITAL!C115-WORKINGCAPITAL!C114)</f>
        <v>39.866666666668607</v>
      </c>
      <c r="K12" s="51">
        <f>(WORKINGCAPITAL!C116-WORKINGCAPITAL!C115)</f>
        <v>0</v>
      </c>
      <c r="L12" s="51">
        <f>(WORKINGCAPITAL!C117-WORKINGCAPITAL!C116)</f>
        <v>0</v>
      </c>
      <c r="M12" s="51">
        <f>(WORKINGCAPITAL!C118-WORKINGCAPITAL!C117)</f>
        <v>0</v>
      </c>
      <c r="N12" s="62">
        <f t="shared" si="1"/>
        <v>33248.800000000003</v>
      </c>
      <c r="O12" s="63">
        <f>CASHFLOW!C14</f>
        <v>33248.800000000003</v>
      </c>
      <c r="P12" s="51">
        <f t="shared" si="0"/>
        <v>0</v>
      </c>
    </row>
    <row r="13" spans="1:16" x14ac:dyDescent="0.3">
      <c r="A13" s="45" t="s">
        <v>312</v>
      </c>
      <c r="B13" s="67">
        <f>SUM(B5:B6,B8:B12)</f>
        <v>-110850.18523809525</v>
      </c>
      <c r="C13" s="67">
        <f t="shared" ref="C13:M13" si="2">SUM(C5:C6,C8:C12)</f>
        <v>21033.314761904745</v>
      </c>
      <c r="D13" s="67">
        <f t="shared" si="2"/>
        <v>21033.314761904745</v>
      </c>
      <c r="E13" s="67">
        <f t="shared" si="2"/>
        <v>21033.314761904745</v>
      </c>
      <c r="F13" s="67">
        <f t="shared" si="2"/>
        <v>21033.314761904745</v>
      </c>
      <c r="G13" s="67">
        <f t="shared" si="2"/>
        <v>21033.314761904745</v>
      </c>
      <c r="H13" s="67">
        <f t="shared" si="2"/>
        <v>21033.314761904745</v>
      </c>
      <c r="I13" s="67">
        <f t="shared" si="2"/>
        <v>21033.314761904745</v>
      </c>
      <c r="J13" s="67">
        <f t="shared" si="2"/>
        <v>20905.299047619039</v>
      </c>
      <c r="K13" s="67">
        <f t="shared" si="2"/>
        <v>21054.799047619039</v>
      </c>
      <c r="L13" s="67">
        <f t="shared" si="2"/>
        <v>21054.799047619039</v>
      </c>
      <c r="M13" s="67">
        <f t="shared" si="2"/>
        <v>21054.799047619039</v>
      </c>
      <c r="N13" s="52">
        <f t="shared" si="1"/>
        <v>120452.71428571414</v>
      </c>
      <c r="O13" s="53">
        <f>CASHFLOW!C15</f>
        <v>120452.71428571422</v>
      </c>
      <c r="P13" s="51">
        <f t="shared" si="0"/>
        <v>0</v>
      </c>
    </row>
    <row r="14" spans="1:16" x14ac:dyDescent="0.3">
      <c r="N14" s="60"/>
      <c r="O14" s="61"/>
      <c r="P14" s="51">
        <f t="shared" si="0"/>
        <v>0</v>
      </c>
    </row>
    <row r="15" spans="1:16" x14ac:dyDescent="0.3">
      <c r="A15" s="55" t="s">
        <v>217</v>
      </c>
      <c r="N15" s="60"/>
      <c r="O15" s="61"/>
      <c r="P15" s="51">
        <f t="shared" si="0"/>
        <v>0</v>
      </c>
    </row>
    <row r="16" spans="1:16" x14ac:dyDescent="0.3">
      <c r="A16" s="54" t="s">
        <v>218</v>
      </c>
      <c r="B16" s="51">
        <f>-CAPEX!C54</f>
        <v>-140000</v>
      </c>
      <c r="C16" s="51">
        <f>-CAPEX!C55</f>
        <v>-100000</v>
      </c>
      <c r="D16" s="51">
        <f>-CAPEX!C56</f>
        <v>-40000</v>
      </c>
      <c r="E16" s="51">
        <f>-CAPEX!C58</f>
        <v>0</v>
      </c>
      <c r="F16" s="51">
        <f>-CAPEX!C59</f>
        <v>0</v>
      </c>
      <c r="G16" s="51">
        <f>-CAPEX!C60</f>
        <v>0</v>
      </c>
      <c r="H16" s="51">
        <f>-CAPEX!C62</f>
        <v>0</v>
      </c>
      <c r="I16" s="51">
        <f>-CAPEX!C63</f>
        <v>0</v>
      </c>
      <c r="J16" s="51">
        <f>-CAPEX!C64</f>
        <v>0</v>
      </c>
      <c r="K16" s="51">
        <f>-CAPEX!C66</f>
        <v>0</v>
      </c>
      <c r="L16" s="51">
        <f>-CAPEX!C67</f>
        <v>0</v>
      </c>
      <c r="M16" s="51">
        <f>-CAPEX!C68</f>
        <v>0</v>
      </c>
      <c r="N16" s="62">
        <f>SUM(B16:M16)</f>
        <v>-280000</v>
      </c>
      <c r="O16" s="63">
        <f>CASHFLOW!C18</f>
        <v>-280000</v>
      </c>
      <c r="P16" s="51">
        <f t="shared" si="0"/>
        <v>0</v>
      </c>
    </row>
    <row r="17" spans="1:16" x14ac:dyDescent="0.3">
      <c r="A17" s="45" t="s">
        <v>313</v>
      </c>
      <c r="B17" s="67">
        <f>B16</f>
        <v>-140000</v>
      </c>
      <c r="C17" s="67">
        <f t="shared" ref="C17:M17" si="3">C16</f>
        <v>-100000</v>
      </c>
      <c r="D17" s="67">
        <f t="shared" si="3"/>
        <v>-40000</v>
      </c>
      <c r="E17" s="67">
        <f t="shared" si="3"/>
        <v>0</v>
      </c>
      <c r="F17" s="67">
        <f t="shared" si="3"/>
        <v>0</v>
      </c>
      <c r="G17" s="67">
        <f t="shared" si="3"/>
        <v>0</v>
      </c>
      <c r="H17" s="67">
        <f t="shared" si="3"/>
        <v>0</v>
      </c>
      <c r="I17" s="67">
        <f t="shared" si="3"/>
        <v>0</v>
      </c>
      <c r="J17" s="67">
        <f t="shared" si="3"/>
        <v>0</v>
      </c>
      <c r="K17" s="67">
        <f t="shared" si="3"/>
        <v>0</v>
      </c>
      <c r="L17" s="67">
        <f t="shared" si="3"/>
        <v>0</v>
      </c>
      <c r="M17" s="67">
        <f t="shared" si="3"/>
        <v>0</v>
      </c>
      <c r="N17" s="52">
        <f>SUM(B17:M17)</f>
        <v>-280000</v>
      </c>
      <c r="O17" s="53">
        <f>CASHFLOW!C19</f>
        <v>-280000</v>
      </c>
      <c r="P17" s="51">
        <f t="shared" si="0"/>
        <v>0</v>
      </c>
    </row>
    <row r="18" spans="1:16" x14ac:dyDescent="0.3">
      <c r="N18" s="60"/>
      <c r="O18" s="61"/>
      <c r="P18" s="51">
        <f t="shared" si="0"/>
        <v>0</v>
      </c>
    </row>
    <row r="19" spans="1:16" x14ac:dyDescent="0.3">
      <c r="A19" s="45" t="s">
        <v>219</v>
      </c>
      <c r="N19" s="60"/>
      <c r="O19" s="61"/>
      <c r="P19" s="51">
        <f t="shared" si="0"/>
        <v>0</v>
      </c>
    </row>
    <row r="20" spans="1:16" x14ac:dyDescent="0.3">
      <c r="A20" s="54" t="s">
        <v>317</v>
      </c>
      <c r="B20" s="46">
        <f>IF(FUNDING!C11&gt;=0,FUNDING!C11,0)</f>
        <v>0</v>
      </c>
      <c r="C20" s="46"/>
      <c r="D20" s="46"/>
      <c r="E20" s="46"/>
      <c r="F20" s="46"/>
      <c r="G20" s="46"/>
      <c r="H20" s="46"/>
      <c r="I20" s="46"/>
      <c r="J20" s="46"/>
      <c r="K20" s="46"/>
      <c r="L20" s="46"/>
      <c r="M20" s="46">
        <f>IF(FUNDING!C11&lt;0,FUNDING!C11,0)</f>
        <v>0</v>
      </c>
      <c r="N20" s="68">
        <f>SUM(B20:M20)</f>
        <v>0</v>
      </c>
      <c r="O20" s="66">
        <f>CASHFLOW!C22</f>
        <v>0</v>
      </c>
      <c r="P20" s="51">
        <f t="shared" si="0"/>
        <v>0</v>
      </c>
    </row>
    <row r="21" spans="1:16" x14ac:dyDescent="0.3">
      <c r="A21" s="54" t="s">
        <v>318</v>
      </c>
      <c r="B21" s="46">
        <f>IF(FUNDING!C17&gt;=0,FUNDING!C17,0)</f>
        <v>500000</v>
      </c>
      <c r="C21" s="46"/>
      <c r="D21" s="46"/>
      <c r="E21" s="46"/>
      <c r="F21" s="46"/>
      <c r="G21" s="46"/>
      <c r="H21" s="46"/>
      <c r="I21" s="46"/>
      <c r="J21" s="46"/>
      <c r="K21" s="46"/>
      <c r="L21" s="46"/>
      <c r="M21" s="46">
        <f>IF(FUNDING!C17&lt;0,FUNDING!C17,0)</f>
        <v>0</v>
      </c>
      <c r="N21" s="68">
        <f t="shared" ref="N21:N25" si="4">SUM(B21:M21)</f>
        <v>500000</v>
      </c>
      <c r="O21" s="66">
        <f>CASHFLOW!C26</f>
        <v>500000</v>
      </c>
      <c r="P21" s="51">
        <f t="shared" si="0"/>
        <v>0</v>
      </c>
    </row>
    <row r="22" spans="1:16" x14ac:dyDescent="0.3">
      <c r="A22" s="54" t="s">
        <v>314</v>
      </c>
      <c r="B22" s="46">
        <f>IF(FUNDING!C24&gt;=0,FUNDING!C24,0)</f>
        <v>0</v>
      </c>
      <c r="C22" s="46"/>
      <c r="D22" s="46"/>
      <c r="E22" s="46"/>
      <c r="F22" s="46"/>
      <c r="G22" s="46"/>
      <c r="H22" s="46"/>
      <c r="I22" s="46"/>
      <c r="J22" s="46"/>
      <c r="K22" s="46"/>
      <c r="L22" s="46"/>
      <c r="M22" s="46">
        <f>IF(FUNDING!C24&lt;0,FUNDING!C24,0)</f>
        <v>0</v>
      </c>
      <c r="N22" s="68">
        <f t="shared" si="4"/>
        <v>0</v>
      </c>
      <c r="O22" s="66">
        <f>CASHFLOW!C22</f>
        <v>0</v>
      </c>
      <c r="P22" s="51">
        <f t="shared" si="0"/>
        <v>0</v>
      </c>
    </row>
    <row r="23" spans="1:16" x14ac:dyDescent="0.3">
      <c r="A23" s="54" t="s">
        <v>315</v>
      </c>
      <c r="B23" s="46">
        <f>IF(FUNDING!C28&gt;=0,FUNDING!C28,0)</f>
        <v>50000</v>
      </c>
      <c r="C23" s="46"/>
      <c r="D23" s="46"/>
      <c r="E23" s="46"/>
      <c r="F23" s="46"/>
      <c r="G23" s="46"/>
      <c r="H23" s="46"/>
      <c r="I23" s="46"/>
      <c r="J23" s="46"/>
      <c r="K23" s="46"/>
      <c r="L23" s="46"/>
      <c r="M23" s="46">
        <f>IF(FUNDING!C28&lt;0,FUNDING!C28,0)</f>
        <v>0</v>
      </c>
      <c r="N23" s="68">
        <f t="shared" si="4"/>
        <v>50000</v>
      </c>
      <c r="O23" s="66">
        <f>CASHFLOW!C23</f>
        <v>50000</v>
      </c>
      <c r="P23" s="51">
        <f t="shared" si="0"/>
        <v>0</v>
      </c>
    </row>
    <row r="24" spans="1:16" x14ac:dyDescent="0.3">
      <c r="A24" s="54" t="s">
        <v>316</v>
      </c>
      <c r="B24" s="46">
        <f>IF(FUNDING!C31&gt;=0,FUNDING!C31,0)</f>
        <v>0</v>
      </c>
      <c r="C24" s="46"/>
      <c r="D24" s="46"/>
      <c r="E24" s="46"/>
      <c r="F24" s="46"/>
      <c r="G24" s="46"/>
      <c r="H24" s="46"/>
      <c r="I24" s="46"/>
      <c r="J24" s="46"/>
      <c r="K24" s="46"/>
      <c r="L24" s="46"/>
      <c r="M24" s="46">
        <f>IF(FUNDING!C31&lt;0,FUNDING!C31,0)</f>
        <v>0</v>
      </c>
      <c r="N24" s="68">
        <f t="shared" si="4"/>
        <v>0</v>
      </c>
      <c r="O24" s="66">
        <f>CASHFLOW!C24</f>
        <v>0</v>
      </c>
      <c r="P24" s="51">
        <f t="shared" si="0"/>
        <v>0</v>
      </c>
    </row>
    <row r="25" spans="1:16" x14ac:dyDescent="0.3">
      <c r="A25" s="54" t="s">
        <v>319</v>
      </c>
      <c r="B25" s="46"/>
      <c r="C25" s="46"/>
      <c r="D25" s="46"/>
      <c r="E25" s="46"/>
      <c r="F25" s="46"/>
      <c r="G25" s="46"/>
      <c r="H25" s="46"/>
      <c r="I25" s="46"/>
      <c r="J25" s="46"/>
      <c r="K25" s="46"/>
      <c r="L25" s="46"/>
      <c r="M25" s="46">
        <f>FUNDING!C56</f>
        <v>0</v>
      </c>
      <c r="N25" s="68">
        <f t="shared" si="4"/>
        <v>0</v>
      </c>
      <c r="O25" s="66">
        <f>CASHFLOW!C27</f>
        <v>0</v>
      </c>
      <c r="P25" s="51">
        <f t="shared" si="0"/>
        <v>0</v>
      </c>
    </row>
    <row r="26" spans="1:16" x14ac:dyDescent="0.3">
      <c r="A26" s="45" t="s">
        <v>322</v>
      </c>
      <c r="B26" s="67">
        <f>SUM(B20:B25)</f>
        <v>550000</v>
      </c>
      <c r="C26" s="67">
        <f t="shared" ref="C26:M26" si="5">SUM(C20:C25)</f>
        <v>0</v>
      </c>
      <c r="D26" s="67">
        <f t="shared" si="5"/>
        <v>0</v>
      </c>
      <c r="E26" s="67">
        <f t="shared" si="5"/>
        <v>0</v>
      </c>
      <c r="F26" s="67">
        <f t="shared" si="5"/>
        <v>0</v>
      </c>
      <c r="G26" s="67">
        <f t="shared" si="5"/>
        <v>0</v>
      </c>
      <c r="H26" s="67">
        <f t="shared" si="5"/>
        <v>0</v>
      </c>
      <c r="I26" s="67">
        <f t="shared" si="5"/>
        <v>0</v>
      </c>
      <c r="J26" s="67">
        <f t="shared" si="5"/>
        <v>0</v>
      </c>
      <c r="K26" s="67">
        <f t="shared" si="5"/>
        <v>0</v>
      </c>
      <c r="L26" s="67">
        <f t="shared" si="5"/>
        <v>0</v>
      </c>
      <c r="M26" s="67">
        <f t="shared" si="5"/>
        <v>0</v>
      </c>
      <c r="N26" s="52">
        <f>SUM(N20:N25)</f>
        <v>550000</v>
      </c>
      <c r="O26" s="53">
        <f>CASHFLOW!C28</f>
        <v>550000</v>
      </c>
      <c r="P26" s="51">
        <f t="shared" si="0"/>
        <v>0</v>
      </c>
    </row>
    <row r="27" spans="1:16" x14ac:dyDescent="0.3">
      <c r="N27" s="60"/>
      <c r="O27" s="61"/>
      <c r="P27" s="51">
        <f t="shared" si="0"/>
        <v>0</v>
      </c>
    </row>
    <row r="28" spans="1:16" x14ac:dyDescent="0.3">
      <c r="A28" s="45" t="s">
        <v>321</v>
      </c>
      <c r="B28" s="67">
        <f>SUM(B13,B17,B26)</f>
        <v>299149.81476190477</v>
      </c>
      <c r="C28" s="67">
        <f t="shared" ref="C28:M28" si="6">SUM(C13,C17,C26)</f>
        <v>-78966.685238095262</v>
      </c>
      <c r="D28" s="67">
        <f t="shared" si="6"/>
        <v>-18966.685238095255</v>
      </c>
      <c r="E28" s="67">
        <f t="shared" si="6"/>
        <v>21033.314761904745</v>
      </c>
      <c r="F28" s="67">
        <f t="shared" si="6"/>
        <v>21033.314761904745</v>
      </c>
      <c r="G28" s="67">
        <f t="shared" si="6"/>
        <v>21033.314761904745</v>
      </c>
      <c r="H28" s="67">
        <f t="shared" si="6"/>
        <v>21033.314761904745</v>
      </c>
      <c r="I28" s="67">
        <f t="shared" si="6"/>
        <v>21033.314761904745</v>
      </c>
      <c r="J28" s="67">
        <f t="shared" si="6"/>
        <v>20905.299047619039</v>
      </c>
      <c r="K28" s="67">
        <f t="shared" si="6"/>
        <v>21054.799047619039</v>
      </c>
      <c r="L28" s="67">
        <f t="shared" si="6"/>
        <v>21054.799047619039</v>
      </c>
      <c r="M28" s="67">
        <f t="shared" si="6"/>
        <v>21054.799047619039</v>
      </c>
      <c r="N28" s="52">
        <f>SUM(B28:M28)</f>
        <v>390452.7142857142</v>
      </c>
      <c r="O28" s="53">
        <f>CASHFLOW!C30</f>
        <v>390452.7142857142</v>
      </c>
      <c r="P28" s="51">
        <f t="shared" si="0"/>
        <v>0</v>
      </c>
    </row>
    <row r="29" spans="1:16" x14ac:dyDescent="0.3">
      <c r="N29" s="60"/>
      <c r="O29" s="61"/>
    </row>
    <row r="30" spans="1:16" x14ac:dyDescent="0.3">
      <c r="A30" s="45" t="s">
        <v>323</v>
      </c>
      <c r="B30" s="67">
        <f>BALANCE!B9</f>
        <v>1200000</v>
      </c>
      <c r="C30" s="67">
        <f>B31</f>
        <v>1499149.8147619048</v>
      </c>
      <c r="D30" s="67">
        <f t="shared" ref="D30:M30" si="7">C31</f>
        <v>1420183.1295238095</v>
      </c>
      <c r="E30" s="67">
        <f t="shared" si="7"/>
        <v>1401216.4442857143</v>
      </c>
      <c r="F30" s="67">
        <f t="shared" si="7"/>
        <v>1422249.7590476191</v>
      </c>
      <c r="G30" s="67">
        <f t="shared" si="7"/>
        <v>1443283.0738095238</v>
      </c>
      <c r="H30" s="67">
        <f t="shared" si="7"/>
        <v>1464316.3885714286</v>
      </c>
      <c r="I30" s="67">
        <f t="shared" si="7"/>
        <v>1485349.7033333334</v>
      </c>
      <c r="J30" s="67">
        <f t="shared" si="7"/>
        <v>1506383.0180952381</v>
      </c>
      <c r="K30" s="67">
        <f t="shared" si="7"/>
        <v>1527288.3171428572</v>
      </c>
      <c r="L30" s="67">
        <f t="shared" si="7"/>
        <v>1548343.1161904763</v>
      </c>
      <c r="M30" s="67">
        <f t="shared" si="7"/>
        <v>1569397.9152380954</v>
      </c>
      <c r="N30" s="60"/>
      <c r="O30" s="53">
        <f>CASHFLOW!C32</f>
        <v>1200000</v>
      </c>
    </row>
    <row r="31" spans="1:16" x14ac:dyDescent="0.3">
      <c r="A31" s="45" t="s">
        <v>324</v>
      </c>
      <c r="B31" s="67">
        <f>SUM(B30,B28)</f>
        <v>1499149.8147619048</v>
      </c>
      <c r="C31" s="67">
        <f>SUM(C30,C28)</f>
        <v>1420183.1295238095</v>
      </c>
      <c r="D31" s="67">
        <f t="shared" ref="D31:M31" si="8">SUM(D30,D28)</f>
        <v>1401216.4442857143</v>
      </c>
      <c r="E31" s="67">
        <f t="shared" si="8"/>
        <v>1422249.7590476191</v>
      </c>
      <c r="F31" s="67">
        <f t="shared" si="8"/>
        <v>1443283.0738095238</v>
      </c>
      <c r="G31" s="67">
        <f t="shared" si="8"/>
        <v>1464316.3885714286</v>
      </c>
      <c r="H31" s="67">
        <f t="shared" si="8"/>
        <v>1485349.7033333334</v>
      </c>
      <c r="I31" s="67">
        <f t="shared" si="8"/>
        <v>1506383.0180952381</v>
      </c>
      <c r="J31" s="67">
        <f t="shared" si="8"/>
        <v>1527288.3171428572</v>
      </c>
      <c r="K31" s="67">
        <f t="shared" si="8"/>
        <v>1548343.1161904763</v>
      </c>
      <c r="L31" s="67">
        <f t="shared" si="8"/>
        <v>1569397.9152380954</v>
      </c>
      <c r="M31" s="67">
        <f t="shared" si="8"/>
        <v>1590452.7142857146</v>
      </c>
      <c r="N31" s="60"/>
      <c r="O31" s="53">
        <f>CASHFLOW!C33</f>
        <v>1590452.7142857141</v>
      </c>
    </row>
  </sheetData>
  <sheetProtection sheet="1" objects="1" scenarios="1" selectLockedCells="1" selectUnlockedCells="1"/>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135"/>
  <sheetViews>
    <sheetView workbookViewId="0">
      <selection activeCell="O17" sqref="O17"/>
    </sheetView>
  </sheetViews>
  <sheetFormatPr baseColWidth="10" defaultRowHeight="14.5" x14ac:dyDescent="0.35"/>
  <cols>
    <col min="1" max="1" width="10.90625" style="163"/>
    <col min="2" max="2" width="9.36328125" style="163" customWidth="1"/>
    <col min="3" max="4" width="12.453125" style="163" bestFit="1" customWidth="1"/>
    <col min="5" max="6" width="13.453125" style="163" bestFit="1" customWidth="1"/>
    <col min="7" max="7" width="6.1796875" style="163" customWidth="1"/>
    <col min="8" max="8" width="10.90625" style="163" customWidth="1"/>
    <col min="9" max="9" width="14.453125" style="163" bestFit="1" customWidth="1"/>
    <col min="10" max="10" width="9.26953125" style="163" customWidth="1"/>
    <col min="11" max="11" width="8" style="163" customWidth="1"/>
    <col min="12" max="12" width="17.81640625" style="163" bestFit="1" customWidth="1"/>
    <col min="13" max="13" width="6.08984375" style="163" customWidth="1"/>
    <col min="14" max="14" width="9.453125" style="163" customWidth="1"/>
    <col min="15" max="16384" width="10.90625" style="163"/>
  </cols>
  <sheetData>
    <row r="2" spans="1:13" s="163" customFormat="1" x14ac:dyDescent="0.35">
      <c r="I2" s="164">
        <v>1</v>
      </c>
      <c r="J2" s="164">
        <v>2</v>
      </c>
      <c r="K2" s="164">
        <v>3</v>
      </c>
      <c r="L2" s="164">
        <v>4</v>
      </c>
      <c r="M2" s="164">
        <v>5</v>
      </c>
    </row>
    <row r="3" spans="1:13" s="163" customFormat="1" x14ac:dyDescent="0.35">
      <c r="A3" s="163" t="s">
        <v>241</v>
      </c>
      <c r="B3" s="165">
        <f>(COST_OF_REV!B45+OPEX!C32)/1000</f>
        <v>543.84285714285716</v>
      </c>
      <c r="C3" s="165">
        <f>(COST_OF_REV!C45+OPEX!D32)/1000</f>
        <v>805.28571428571433</v>
      </c>
      <c r="D3" s="165">
        <f>(COST_OF_REV!D45+OPEX!E32)/1000</f>
        <v>1028.0857142857144</v>
      </c>
      <c r="E3" s="165">
        <f>(COST_OF_REV!E45+OPEX!F32)/1000</f>
        <v>1226.3785714285714</v>
      </c>
      <c r="F3" s="165">
        <f>(COST_OF_REV!F45+OPEX!G32)/1000</f>
        <v>1461.2714285714287</v>
      </c>
      <c r="H3" s="163" t="s">
        <v>260</v>
      </c>
      <c r="I3" s="166">
        <f>(PL!C23+CAPEX!C45)/1000</f>
        <v>318.7999999999999</v>
      </c>
      <c r="J3" s="166">
        <f>(PL!D23+CAPEX!D45)/1000</f>
        <v>619.3399999999998</v>
      </c>
      <c r="K3" s="166">
        <f>(PL!E23+CAPEX!E45)/1000</f>
        <v>3731.3399999999997</v>
      </c>
      <c r="L3" s="166">
        <f>(PL!F23+CAPEX!F45)/1000</f>
        <v>10894.54</v>
      </c>
      <c r="M3" s="166">
        <f>(PL!G23+CAPEX!G45)/1000</f>
        <v>22572.939999999995</v>
      </c>
    </row>
    <row r="4" spans="1:13" s="163" customFormat="1" x14ac:dyDescent="0.35">
      <c r="A4" s="163" t="s">
        <v>242</v>
      </c>
      <c r="B4" s="165">
        <f>(COST_OF_REV!B46+OPEX!C33)/1000</f>
        <v>1762.3</v>
      </c>
      <c r="C4" s="165">
        <f>(COST_OF_REV!C46+OPEX!D33)/1000</f>
        <v>2695.6</v>
      </c>
      <c r="D4" s="165">
        <f>(COST_OF_REV!D46+OPEX!E33)/1000</f>
        <v>6375.8</v>
      </c>
      <c r="E4" s="165">
        <f>(COST_OF_REV!E46+OPEX!F33)/1000</f>
        <v>12876.45</v>
      </c>
      <c r="F4" s="165">
        <f>(COST_OF_REV!F46+OPEX!G33)/1000</f>
        <v>23245.3</v>
      </c>
      <c r="H4" s="163" t="s">
        <v>261</v>
      </c>
      <c r="I4" s="166">
        <f>(PL!C23)/1000</f>
        <v>276.65714285714273</v>
      </c>
      <c r="J4" s="166">
        <f>(PL!D23)/1000</f>
        <v>495.05428571428547</v>
      </c>
      <c r="K4" s="166">
        <f>(PL!E23)/1000</f>
        <v>3507.0542857142855</v>
      </c>
      <c r="L4" s="166">
        <f>(PL!F23)/1000</f>
        <v>10550.611428571428</v>
      </c>
      <c r="M4" s="166">
        <f>(PL!G23)/1000</f>
        <v>22089.368571428568</v>
      </c>
    </row>
    <row r="5" spans="1:13" s="163" customFormat="1" x14ac:dyDescent="0.35">
      <c r="A5" s="163" t="s">
        <v>262</v>
      </c>
      <c r="B5" s="167">
        <f>REVENUE!B25/1000</f>
        <v>2990</v>
      </c>
      <c r="C5" s="167">
        <f>REVENUE!C25/1000</f>
        <v>4605</v>
      </c>
      <c r="D5" s="167">
        <f>REVENUE!D25/1000</f>
        <v>11570</v>
      </c>
      <c r="E5" s="167">
        <f>REVENUE!E25/1000</f>
        <v>25375</v>
      </c>
      <c r="F5" s="167">
        <f>REVENUE!F25/1000</f>
        <v>47600</v>
      </c>
    </row>
    <row r="6" spans="1:13" s="163" customFormat="1" x14ac:dyDescent="0.35">
      <c r="A6" s="163" t="s">
        <v>263</v>
      </c>
      <c r="B6" s="167">
        <f>B3/(1-B4/B5)</f>
        <v>1324.5012159787757</v>
      </c>
      <c r="C6" s="167">
        <f t="shared" ref="C6:F6" si="0">C3/(1-C4/C5)</f>
        <v>1942.1497403821697</v>
      </c>
      <c r="D6" s="167">
        <f t="shared" si="0"/>
        <v>2290.0449952419463</v>
      </c>
      <c r="E6" s="167">
        <f t="shared" si="0"/>
        <v>2489.837321129251</v>
      </c>
      <c r="F6" s="167">
        <f t="shared" si="0"/>
        <v>2855.9793386902738</v>
      </c>
    </row>
    <row r="17" spans="1:13" s="163" customFormat="1" x14ac:dyDescent="0.35">
      <c r="B17" s="163">
        <v>1</v>
      </c>
      <c r="C17" s="163">
        <v>2</v>
      </c>
      <c r="D17" s="163">
        <v>3</v>
      </c>
      <c r="E17" s="163">
        <v>4</v>
      </c>
      <c r="F17" s="163">
        <v>5</v>
      </c>
    </row>
    <row r="18" spans="1:13" s="163" customFormat="1" x14ac:dyDescent="0.35">
      <c r="A18" s="163" t="s">
        <v>246</v>
      </c>
      <c r="B18" s="168">
        <f>PL!C11/1000</f>
        <v>1803.0571428571427</v>
      </c>
      <c r="C18" s="168">
        <f>PL!D11/1000</f>
        <v>2707.8142857142852</v>
      </c>
      <c r="D18" s="168">
        <f>PL!E11/1000</f>
        <v>7859.3142857142857</v>
      </c>
      <c r="E18" s="168">
        <f>PL!F11/1000</f>
        <v>19106.87142857143</v>
      </c>
      <c r="F18" s="168">
        <f>PL!G11/1000</f>
        <v>37395.62857142857</v>
      </c>
      <c r="I18" s="163">
        <v>1</v>
      </c>
      <c r="J18" s="163">
        <v>2</v>
      </c>
      <c r="K18" s="163">
        <v>3</v>
      </c>
      <c r="L18" s="163">
        <v>4</v>
      </c>
      <c r="M18" s="163">
        <v>5</v>
      </c>
    </row>
    <row r="19" spans="1:13" s="163" customFormat="1" x14ac:dyDescent="0.35">
      <c r="H19" s="163" t="s">
        <v>247</v>
      </c>
      <c r="I19" s="169">
        <f>PL!C23/(BALANCE!C22+BALANCE!C25+BALANCE!C31)</f>
        <v>0.14165804132119561</v>
      </c>
      <c r="J19" s="169">
        <f>PL!D23/(BALANCE!D22+BALANCE!D25+BALANCE!D31)</f>
        <v>0.18138616701347834</v>
      </c>
      <c r="K19" s="169">
        <f>PL!E23/(BALANCE!E22+BALANCE!E25+BALANCE!E31)</f>
        <v>0.67138975993996441</v>
      </c>
      <c r="L19" s="169">
        <f>PL!F23/(BALANCE!F22+BALANCE!F25+BALANCE!F31)</f>
        <v>0.78136570366235614</v>
      </c>
      <c r="M19" s="169">
        <f>PL!G23/(BALANCE!G22+BALANCE!G25+BALANCE!G31)</f>
        <v>0.73854492460577181</v>
      </c>
    </row>
    <row r="33" spans="1:13" s="163" customFormat="1" x14ac:dyDescent="0.35">
      <c r="B33" s="163">
        <v>1</v>
      </c>
      <c r="C33" s="163">
        <v>2</v>
      </c>
      <c r="D33" s="163">
        <v>3</v>
      </c>
      <c r="E33" s="163">
        <v>4</v>
      </c>
      <c r="F33" s="163">
        <v>5</v>
      </c>
    </row>
    <row r="34" spans="1:13" s="163" customFormat="1" x14ac:dyDescent="0.35">
      <c r="A34" s="163" t="s">
        <v>248</v>
      </c>
      <c r="B34" s="167">
        <f>CASHFLOW!C15</f>
        <v>120452.71428571422</v>
      </c>
      <c r="C34" s="167">
        <f>CASHFLOW!D15</f>
        <v>383230.92857142841</v>
      </c>
      <c r="D34" s="167">
        <f>CASHFLOW!E15</f>
        <v>2238654.5285714278</v>
      </c>
      <c r="E34" s="167">
        <f>CASHFLOW!F15</f>
        <v>7584237.542857144</v>
      </c>
      <c r="F34" s="167">
        <f>CASHFLOW!G15</f>
        <v>16466027.857142854</v>
      </c>
      <c r="I34" s="164">
        <v>1</v>
      </c>
      <c r="J34" s="164">
        <v>2</v>
      </c>
      <c r="K34" s="164">
        <v>3</v>
      </c>
      <c r="L34" s="164">
        <v>4</v>
      </c>
      <c r="M34" s="164">
        <v>5</v>
      </c>
    </row>
    <row r="35" spans="1:13" s="163" customFormat="1" x14ac:dyDescent="0.35">
      <c r="H35" s="163" t="s">
        <v>249</v>
      </c>
      <c r="I35" s="169">
        <f>PL!C31/BALANCE!C15</f>
        <v>9.0799857700561468E-2</v>
      </c>
      <c r="J35" s="169">
        <f>PL!D31/BALANCE!D15</f>
        <v>0.10310815213105659</v>
      </c>
      <c r="K35" s="169">
        <f>PL!E31/BALANCE!E15</f>
        <v>0.41067288559298698</v>
      </c>
      <c r="L35" s="169">
        <f>PL!F31/BALANCE!F15</f>
        <v>0.49241274743246266</v>
      </c>
      <c r="M35" s="169">
        <f>PL!G31/BALANCE!G15</f>
        <v>0.48117601920912895</v>
      </c>
    </row>
    <row r="50" spans="1:13" s="163" customFormat="1" x14ac:dyDescent="0.35">
      <c r="I50" s="163">
        <v>1</v>
      </c>
      <c r="J50" s="163">
        <v>2</v>
      </c>
      <c r="K50" s="163">
        <v>3</v>
      </c>
      <c r="L50" s="163">
        <v>4</v>
      </c>
      <c r="M50" s="163">
        <v>5</v>
      </c>
    </row>
    <row r="51" spans="1:13" s="163" customFormat="1" x14ac:dyDescent="0.35">
      <c r="H51" s="163" t="s">
        <v>250</v>
      </c>
      <c r="I51" s="169">
        <f>PL!C31/BALANCE!C31</f>
        <v>0.10667032005975545</v>
      </c>
      <c r="J51" s="169">
        <f>PL!D31/BALANCE!D31</f>
        <v>0.14636572864376346</v>
      </c>
      <c r="K51" s="169">
        <f>PL!E31/BALANCE!E31</f>
        <v>0.53783575428061348</v>
      </c>
      <c r="L51" s="169">
        <f>PL!F31/BALANCE!F31</f>
        <v>0.59678392477430087</v>
      </c>
      <c r="M51" s="169">
        <f>PL!G31/BALANCE!G31</f>
        <v>0.55728412496390911</v>
      </c>
    </row>
    <row r="53" spans="1:13" s="163" customFormat="1" x14ac:dyDescent="0.35">
      <c r="B53" s="163">
        <v>1</v>
      </c>
      <c r="C53" s="163">
        <v>2</v>
      </c>
      <c r="D53" s="163">
        <v>3</v>
      </c>
      <c r="E53" s="163">
        <v>4</v>
      </c>
      <c r="F53" s="163">
        <v>5</v>
      </c>
    </row>
    <row r="54" spans="1:13" s="163" customFormat="1" x14ac:dyDescent="0.35">
      <c r="A54" s="163" t="s">
        <v>251</v>
      </c>
      <c r="B54" s="165">
        <f>(BALANCE!C13-BALANCE!C11)/BALANCE!C23</f>
        <v>5.506389115233941</v>
      </c>
      <c r="C54" s="165">
        <f>(BALANCE!D13-BALANCE!D11)/BALANCE!D23</f>
        <v>4.2874846250940992</v>
      </c>
      <c r="D54" s="165">
        <f>(BALANCE!E13-BALANCE!E11)/BALANCE!E23</f>
        <v>3.8588710316389787</v>
      </c>
      <c r="E54" s="165">
        <f>(BALANCE!F13-BALANCE!F11)/BALANCE!F23</f>
        <v>5.1357718613577408</v>
      </c>
      <c r="F54" s="165">
        <f>(BALANCE!G13-BALANCE!G11)/BALANCE!G23</f>
        <v>6.7211858993633102</v>
      </c>
    </row>
    <row r="55" spans="1:13" s="163" customFormat="1" x14ac:dyDescent="0.35">
      <c r="A55" s="163" t="s">
        <v>326</v>
      </c>
      <c r="B55" s="166">
        <f>BALANCE!C13/BALANCE!C23</f>
        <v>6.0061985043531259</v>
      </c>
      <c r="C55" s="166">
        <f>BALANCE!D13/BALANCE!D23</f>
        <v>4.7658237493328404</v>
      </c>
      <c r="D55" s="166">
        <f>BALANCE!E13/BALANCE!E23</f>
        <v>4.5056142691353394</v>
      </c>
      <c r="E55" s="166">
        <f>BALANCE!F13/BALANCE!F23</f>
        <v>5.6787312081978705</v>
      </c>
      <c r="F55" s="166">
        <f>BALANCE!G13/BALANCE!G23</f>
        <v>7.1527698087448659</v>
      </c>
    </row>
    <row r="56" spans="1:13" s="163" customFormat="1" x14ac:dyDescent="0.35">
      <c r="B56" s="166"/>
      <c r="C56" s="166"/>
      <c r="D56" s="166"/>
      <c r="E56" s="166"/>
      <c r="F56" s="166"/>
    </row>
    <row r="66" spans="1:13" s="163" customFormat="1" x14ac:dyDescent="0.35">
      <c r="B66" s="163">
        <v>1</v>
      </c>
      <c r="C66" s="163">
        <v>2</v>
      </c>
      <c r="D66" s="163">
        <v>3</v>
      </c>
      <c r="E66" s="163">
        <v>4</v>
      </c>
      <c r="F66" s="163">
        <v>5</v>
      </c>
      <c r="I66" s="163">
        <v>1</v>
      </c>
      <c r="J66" s="163">
        <v>2</v>
      </c>
      <c r="K66" s="163">
        <v>3</v>
      </c>
      <c r="L66" s="163">
        <v>4</v>
      </c>
      <c r="M66" s="163">
        <v>5</v>
      </c>
    </row>
    <row r="67" spans="1:13" s="163" customFormat="1" x14ac:dyDescent="0.35">
      <c r="A67" s="163" t="s">
        <v>157</v>
      </c>
      <c r="B67" s="170">
        <f>BALANCE!C31/BALANCE!C32</f>
        <v>0.85121951119764583</v>
      </c>
      <c r="C67" s="170">
        <f>BALANCE!D31/BALANCE!D32</f>
        <v>0.70445556542822541</v>
      </c>
      <c r="D67" s="170">
        <f>BALANCE!E31/BALANCE!E32</f>
        <v>0.76356560962051656</v>
      </c>
      <c r="E67" s="170">
        <f>BALANCE!F31/BALANCE!F32</f>
        <v>0.82511060869926989</v>
      </c>
      <c r="F67" s="170">
        <f>BALANCE!G31/BALANCE!G32</f>
        <v>0.86343033589964702</v>
      </c>
      <c r="H67" s="163" t="s">
        <v>253</v>
      </c>
      <c r="I67" s="169">
        <f>REVENUE!B25/(BALANCE!C15-BALANCE!C23)</f>
        <v>1.571209260600783</v>
      </c>
      <c r="J67" s="169">
        <f>REVENUE!C25/(BALANCE!D15-BALANCE!D23)</f>
        <v>1.7514276702751999</v>
      </c>
      <c r="K67" s="169">
        <f>REVENUE!D25/(BALANCE!E15-BALANCE!E23)</f>
        <v>2.2581891770867548</v>
      </c>
      <c r="L67" s="169">
        <f>REVENUE!E25/(BALANCE!F15-BALANCE!F23)</f>
        <v>1.8932635311984247</v>
      </c>
      <c r="M67" s="169">
        <f>REVENUE!F25/(BALANCE!G15-BALANCE!G23)</f>
        <v>1.5968166032888145</v>
      </c>
    </row>
    <row r="68" spans="1:13" s="163" customFormat="1" x14ac:dyDescent="0.35">
      <c r="A68" s="163" t="s">
        <v>252</v>
      </c>
      <c r="B68" s="170">
        <f>(BALANCE!C23+BALANCE!C25)/BALANCE!C32</f>
        <v>0.14878048880235412</v>
      </c>
      <c r="C68" s="170">
        <f>(BALANCE!D23+BALANCE!D25)/BALANCE!D32</f>
        <v>0.29554443457177454</v>
      </c>
      <c r="D68" s="170">
        <f>(BALANCE!E23+BALANCE!E25)/BALANCE!E32</f>
        <v>0.23643439037948333</v>
      </c>
      <c r="E68" s="170">
        <f>(BALANCE!F23+BALANCE!F25)/BALANCE!F32</f>
        <v>0.17488939130073008</v>
      </c>
      <c r="F68" s="170">
        <f>(BALANCE!G23+BALANCE!G25)/BALANCE!G32</f>
        <v>0.13656966410035301</v>
      </c>
    </row>
    <row r="69" spans="1:13" s="163" customFormat="1" x14ac:dyDescent="0.35">
      <c r="A69" s="163" t="s">
        <v>256</v>
      </c>
      <c r="B69" s="170">
        <f>(BALANCE!C23+BALANCE!C25)/BALANCE!C31</f>
        <v>0.17478510166316968</v>
      </c>
      <c r="C69" s="170">
        <f>(BALANCE!D23+BALANCE!D25)/BALANCE!D31</f>
        <v>0.41953594956996121</v>
      </c>
      <c r="D69" s="170">
        <f>(BALANCE!E23+BALANCE!E25)/BALANCE!E31</f>
        <v>0.30964515347540145</v>
      </c>
      <c r="E69" s="170">
        <f>(BALANCE!F23+BALANCE!F25)/BALANCE!F31</f>
        <v>0.21195872342064681</v>
      </c>
      <c r="F69" s="170">
        <f>(BALANCE!G23+BALANCE!G25)/BALANCE!G31</f>
        <v>0.15817102830659166</v>
      </c>
    </row>
    <row r="70" spans="1:13" s="163" customFormat="1" x14ac:dyDescent="0.35">
      <c r="B70" s="171"/>
      <c r="C70" s="171"/>
      <c r="D70" s="171"/>
      <c r="E70" s="171"/>
      <c r="F70" s="171"/>
    </row>
    <row r="82" spans="1:13" s="163" customFormat="1" x14ac:dyDescent="0.35">
      <c r="B82" s="163">
        <v>1</v>
      </c>
      <c r="C82" s="163">
        <v>2</v>
      </c>
      <c r="D82" s="163">
        <v>3</v>
      </c>
      <c r="E82" s="163">
        <v>4</v>
      </c>
      <c r="F82" s="163">
        <v>5</v>
      </c>
      <c r="I82" s="163">
        <v>1</v>
      </c>
      <c r="J82" s="163">
        <v>2</v>
      </c>
      <c r="K82" s="163">
        <v>3</v>
      </c>
      <c r="L82" s="163">
        <v>4</v>
      </c>
      <c r="M82" s="163">
        <v>5</v>
      </c>
    </row>
    <row r="83" spans="1:13" s="163" customFormat="1" x14ac:dyDescent="0.35">
      <c r="A83" s="163" t="s">
        <v>254</v>
      </c>
      <c r="B83" s="170">
        <f>PL!C11/PL!C7</f>
        <v>0.60302914476827518</v>
      </c>
      <c r="C83" s="170">
        <f>PL!D11/PL!D7</f>
        <v>0.58801613153404675</v>
      </c>
      <c r="D83" s="170">
        <f>PL!E11/PL!E7</f>
        <v>0.67928386220521053</v>
      </c>
      <c r="E83" s="170">
        <f>PL!F11/PL!F7</f>
        <v>0.75298015482054892</v>
      </c>
      <c r="F83" s="170">
        <f>PL!G11/PL!G7</f>
        <v>0.78562244897959177</v>
      </c>
      <c r="H83" s="163" t="s">
        <v>257</v>
      </c>
      <c r="I83" s="170">
        <f>PL!C31/BALANCE!C31</f>
        <v>0.10667032005975545</v>
      </c>
      <c r="J83" s="170">
        <f>PL!D31/BALANCE!D31</f>
        <v>0.14636572864376346</v>
      </c>
      <c r="K83" s="170">
        <f>PL!E31/BALANCE!E31</f>
        <v>0.53783575428061348</v>
      </c>
      <c r="L83" s="170">
        <f>PL!F31/BALANCE!F31</f>
        <v>0.59678392477430087</v>
      </c>
      <c r="M83" s="170">
        <f>PL!G31/BALANCE!G31</f>
        <v>0.55728412496390911</v>
      </c>
    </row>
    <row r="84" spans="1:13" s="163" customFormat="1" x14ac:dyDescent="0.35">
      <c r="A84" s="163" t="s">
        <v>255</v>
      </c>
      <c r="B84" s="170">
        <f>PL!C23/PL!C7</f>
        <v>9.2527472527472482E-2</v>
      </c>
      <c r="C84" s="170">
        <f>PL!D23/PL!D7</f>
        <v>0.10750364510625091</v>
      </c>
      <c r="D84" s="170">
        <f>PL!E23/PL!E7</f>
        <v>0.30311618718360289</v>
      </c>
      <c r="E84" s="170">
        <f>PL!F23/PL!F7</f>
        <v>0.415787642505278</v>
      </c>
      <c r="F84" s="170">
        <f>PL!G23/PL!G7</f>
        <v>0.4640623649459783</v>
      </c>
      <c r="H84" s="163" t="s">
        <v>258</v>
      </c>
      <c r="I84" s="170">
        <f>(PL!C25*(-1))/(BALANCE!C23+BALANCE!C25)</f>
        <v>1.8038884619686196E-2</v>
      </c>
      <c r="J84" s="170">
        <f>(PL!D25*(-1))/(BALANCE!D23+BALANCE!D25)</f>
        <v>6.4152968047758899E-2</v>
      </c>
      <c r="K84" s="170">
        <f>(PL!E25*(-1))/(BALANCE!E23+BALANCE!E25)</f>
        <v>3.2137195831484333E-2</v>
      </c>
      <c r="L84" s="170">
        <f>(PL!F25*(-1))/(BALANCE!F23+BALANCE!F25)</f>
        <v>1.608035891361095E-2</v>
      </c>
      <c r="M84" s="170">
        <f>(PL!G25*(-1))/(BALANCE!G23+BALANCE!G25)</f>
        <v>2.9792609389949504E-3</v>
      </c>
    </row>
    <row r="98" spans="1:13" s="163" customFormat="1" x14ac:dyDescent="0.35">
      <c r="B98" s="163">
        <v>1</v>
      </c>
      <c r="C98" s="163">
        <v>2</v>
      </c>
      <c r="D98" s="163">
        <v>3</v>
      </c>
      <c r="E98" s="163">
        <v>4</v>
      </c>
      <c r="F98" s="163">
        <v>5</v>
      </c>
      <c r="J98" s="163">
        <v>2</v>
      </c>
      <c r="K98" s="163">
        <v>3</v>
      </c>
      <c r="L98" s="163">
        <v>4</v>
      </c>
      <c r="M98" s="163">
        <v>5</v>
      </c>
    </row>
    <row r="99" spans="1:13" s="163" customFormat="1" x14ac:dyDescent="0.35">
      <c r="A99" s="163" t="s">
        <v>2</v>
      </c>
      <c r="B99" s="172">
        <f>(REVENUE!B8/COST_OF_REV!B12)*100</f>
        <v>291.16117850953202</v>
      </c>
      <c r="C99" s="172">
        <f>(REVENUE!C8/COST_OF_REV!C12)*100</f>
        <v>326.21359223300971</v>
      </c>
      <c r="D99" s="172">
        <f>(REVENUE!D8/COST_OF_REV!D12)*100</f>
        <v>389.70076548364648</v>
      </c>
      <c r="E99" s="172">
        <f>(REVENUE!E8/COST_OF_REV!E12)*100</f>
        <v>456.75756504717111</v>
      </c>
      <c r="F99" s="172">
        <f>(REVENUE!F8/COST_OF_REV!F12)*100</f>
        <v>521.56635483069783</v>
      </c>
      <c r="H99" s="163" t="s">
        <v>264</v>
      </c>
      <c r="J99" s="172">
        <f>(REVENUE!C25/REVENUE!B25)*100</f>
        <v>154.01337792642141</v>
      </c>
      <c r="K99" s="172">
        <f>(REVENUE!D25/REVENUE!C25)*100</f>
        <v>251.24864277958739</v>
      </c>
      <c r="L99" s="172">
        <f>(REVENUE!E25/REVENUE!D25)*100</f>
        <v>219.31719965427828</v>
      </c>
      <c r="M99" s="172">
        <f>(REVENUE!F25/REVENUE!E25)*100</f>
        <v>187.58620689655172</v>
      </c>
    </row>
    <row r="100" spans="1:13" s="163" customFormat="1" x14ac:dyDescent="0.35">
      <c r="A100" s="163" t="s">
        <v>6</v>
      </c>
      <c r="B100" s="172">
        <f>(REVENUE!B13/COST_OF_REV!B21)*100</f>
        <v>377.35849056603774</v>
      </c>
      <c r="C100" s="172">
        <f>(REVENUE!C13/COST_OF_REV!C21)*100</f>
        <v>364.741641337386</v>
      </c>
      <c r="D100" s="172">
        <f>(REVENUE!D13/COST_OF_REV!D21)*100</f>
        <v>424.55775234131113</v>
      </c>
      <c r="E100" s="172">
        <f>(REVENUE!E13/COST_OF_REV!E21)*100</f>
        <v>447.54201533763779</v>
      </c>
      <c r="F100" s="172">
        <f>(REVENUE!F13/COST_OF_REV!F21)*100</f>
        <v>476.75804529201429</v>
      </c>
      <c r="H100" s="163" t="s">
        <v>265</v>
      </c>
      <c r="J100" s="172">
        <f>(REVENUE!C25/REVENUE!$B$25)*100</f>
        <v>154.01337792642141</v>
      </c>
      <c r="K100" s="172">
        <f>(REVENUE!D25/REVENUE!$B$25)*100</f>
        <v>386.95652173913044</v>
      </c>
      <c r="L100" s="172">
        <f>(REVENUE!E25/REVENUE!$B$25)*100</f>
        <v>848.66220735785942</v>
      </c>
      <c r="M100" s="172">
        <f>(REVENUE!F25/REVENUE!$B$25)*100</f>
        <v>1591.9732441471572</v>
      </c>
    </row>
    <row r="101" spans="1:13" s="163" customFormat="1" x14ac:dyDescent="0.35">
      <c r="A101" s="163" t="s">
        <v>9</v>
      </c>
      <c r="B101" s="172">
        <f>(REVENUE!B18/COST_OF_REV!B30)*100</f>
        <v>372.67080745341616</v>
      </c>
      <c r="C101" s="172">
        <f>(REVENUE!C18/COST_OF_REV!C30)*100</f>
        <v>263.6879692364036</v>
      </c>
      <c r="D101" s="172">
        <f>(REVENUE!D18/COST_OF_REV!D30)*100</f>
        <v>275.56644213104715</v>
      </c>
      <c r="E101" s="172">
        <f>(REVENUE!E18/COST_OF_REV!E30)*100</f>
        <v>556.250869141983</v>
      </c>
      <c r="F101" s="172">
        <f>(REVENUE!F18/COST_OF_REV!F30)*100</f>
        <v>614.7855935242585</v>
      </c>
    </row>
    <row r="102" spans="1:13" s="163" customFormat="1" x14ac:dyDescent="0.35">
      <c r="A102" s="163" t="s">
        <v>8</v>
      </c>
      <c r="B102" s="172">
        <f>(REVENUE!B23/COST_OF_REV!B33)*100</f>
        <v>364.72148541114058</v>
      </c>
      <c r="C102" s="172">
        <f>(REVENUE!C23/COST_OF_REV!C33)*100</f>
        <v>511.46931184128954</v>
      </c>
      <c r="D102" s="172">
        <f>(REVENUE!D23/COST_OF_REV!D33)*100</f>
        <v>549.38956714761377</v>
      </c>
      <c r="E102" s="172">
        <f>(REVENUE!E23/COST_OF_REV!E33)*100</f>
        <v>683.39960238568585</v>
      </c>
      <c r="F102" s="172">
        <f>(REVENUE!F23/COST_OF_REV!F33)*100</f>
        <v>936.96763202725731</v>
      </c>
    </row>
    <row r="114" spans="1:13" s="163" customFormat="1" x14ac:dyDescent="0.35">
      <c r="B114" s="163">
        <v>1</v>
      </c>
      <c r="C114" s="163">
        <v>2</v>
      </c>
      <c r="D114" s="163">
        <v>3</v>
      </c>
      <c r="E114" s="163">
        <v>4</v>
      </c>
      <c r="F114" s="163">
        <v>5</v>
      </c>
      <c r="I114" s="163">
        <v>1</v>
      </c>
      <c r="J114" s="163">
        <v>2</v>
      </c>
      <c r="K114" s="163">
        <v>3</v>
      </c>
      <c r="L114" s="163">
        <v>4</v>
      </c>
      <c r="M114" s="163">
        <v>5</v>
      </c>
    </row>
    <row r="115" spans="1:13" s="163" customFormat="1" x14ac:dyDescent="0.35">
      <c r="A115" s="163" t="s">
        <v>259</v>
      </c>
      <c r="B115" s="163">
        <f>WORKINGCAPITAL!C10+WORKINGCAPITAL!C16+WORKINGCAPITAL!C23-WORKINGCAPITAL!C29-WORKINGCAPITAL!C35</f>
        <v>15</v>
      </c>
      <c r="C115" s="163">
        <f>WORKINGCAPITAL!D10+WORKINGCAPITAL!D16+WORKINGCAPITAL!D23-WORKINGCAPITAL!D29-WORKINGCAPITAL!D35</f>
        <v>15</v>
      </c>
      <c r="D115" s="163">
        <f>WORKINGCAPITAL!E10+WORKINGCAPITAL!E16+WORKINGCAPITAL!E23-WORKINGCAPITAL!E29-WORKINGCAPITAL!E35</f>
        <v>24</v>
      </c>
      <c r="E115" s="163">
        <f>WORKINGCAPITAL!F10+WORKINGCAPITAL!F16+WORKINGCAPITAL!F23-WORKINGCAPITAL!F29-WORKINGCAPITAL!F35</f>
        <v>20</v>
      </c>
      <c r="F115" s="163">
        <f>WORKINGCAPITAL!G10+WORKINGCAPITAL!G16+WORKINGCAPITAL!G23-WORKINGCAPITAL!G29-WORKINGCAPITAL!G35</f>
        <v>15</v>
      </c>
      <c r="H115" s="163" t="s">
        <v>135</v>
      </c>
      <c r="I115" s="166">
        <f>REVENUE!B25/WORKINGCAPITAL!C12</f>
        <v>14.388489208633093</v>
      </c>
      <c r="J115" s="166">
        <f>REVENUE!C25/WORKINGCAPITAL!D12</f>
        <v>14.388489208633093</v>
      </c>
      <c r="K115" s="166">
        <f>REVENUE!D25/WORKINGCAPITAL!E12</f>
        <v>11.990407673860911</v>
      </c>
      <c r="L115" s="166">
        <f>REVENUE!E25/WORKINGCAPITAL!F12</f>
        <v>11.990407673860911</v>
      </c>
      <c r="M115" s="166">
        <f>REVENUE!F25/WORKINGCAPITAL!G12</f>
        <v>11.990407673860911</v>
      </c>
    </row>
    <row r="116" spans="1:13" s="163" customFormat="1" x14ac:dyDescent="0.35">
      <c r="H116" s="163" t="s">
        <v>139</v>
      </c>
      <c r="I116" s="166">
        <f>(REVENUE!B25-REVENUE!B23)/WORKINGCAPITAL!C19</f>
        <v>14.677221433555497</v>
      </c>
      <c r="J116" s="166">
        <f>(REVENUE!C25-REVENUE!C23)/WORKINGCAPITAL!D19</f>
        <v>14.763433552832002</v>
      </c>
      <c r="K116" s="166">
        <f>(REVENUE!D25-REVENUE!D23)/WORKINGCAPITAL!E19</f>
        <v>13.705543775869538</v>
      </c>
      <c r="L116" s="166">
        <f>(REVENUE!E25-REVENUE!E23)/WORKINGCAPITAL!F19</f>
        <v>17.011021724492327</v>
      </c>
      <c r="M116" s="166">
        <f>(REVENUE!F25-REVENUE!F23)/WORKINGCAPITAL!G19</f>
        <v>22.872458335852325</v>
      </c>
    </row>
    <row r="129" spans="1:13" s="163" customFormat="1" x14ac:dyDescent="0.35">
      <c r="H129" s="173"/>
      <c r="I129" s="173"/>
      <c r="J129" s="173"/>
      <c r="K129" s="173"/>
      <c r="L129" s="173"/>
      <c r="M129" s="173"/>
    </row>
    <row r="130" spans="1:13" s="163" customFormat="1" x14ac:dyDescent="0.35">
      <c r="B130" s="163">
        <v>1</v>
      </c>
      <c r="C130" s="163">
        <v>2</v>
      </c>
      <c r="D130" s="163">
        <v>3</v>
      </c>
      <c r="E130" s="163">
        <v>4</v>
      </c>
      <c r="F130" s="163">
        <v>5</v>
      </c>
      <c r="H130" s="173"/>
      <c r="I130" s="173">
        <v>1</v>
      </c>
      <c r="J130" s="173">
        <v>2</v>
      </c>
      <c r="K130" s="173">
        <v>3</v>
      </c>
      <c r="L130" s="173">
        <v>4</v>
      </c>
      <c r="M130" s="173">
        <v>5</v>
      </c>
    </row>
    <row r="131" spans="1:13" s="163" customFormat="1" x14ac:dyDescent="0.35">
      <c r="A131" s="163" t="s">
        <v>135</v>
      </c>
      <c r="B131" s="172">
        <f>(WORKINGCAPITAL!C12/REVENUE!B25)*365</f>
        <v>25.367500000000003</v>
      </c>
      <c r="C131" s="172">
        <f>(WORKINGCAPITAL!D12/REVENUE!C25)*365</f>
        <v>25.367500000000003</v>
      </c>
      <c r="D131" s="172">
        <f>(WORKINGCAPITAL!E12/REVENUE!D25)*365</f>
        <v>30.440999999999999</v>
      </c>
      <c r="E131" s="172">
        <f>(WORKINGCAPITAL!F12/REVENUE!E25)*365</f>
        <v>30.440999999999999</v>
      </c>
      <c r="F131" s="172">
        <f>(WORKINGCAPITAL!G12/REVENUE!F25)*365</f>
        <v>30.440999999999999</v>
      </c>
      <c r="H131" s="173" t="s">
        <v>325</v>
      </c>
      <c r="I131" s="174">
        <f>(PL!C23+CAPEX!C45-CAPEX!C11-TAX!C13-(CASHFLOW!C11+CASHFLOW!C12+CASHFLOW!C13+CASHFLOW!C14+CASHFLOW!C15))/1000</f>
        <v>-97.11042857142867</v>
      </c>
      <c r="J131" s="174">
        <f>(PL!D23+CAPEX!D45-CAPEX!D11-TAX!D13-(CASHFLOW!D11+CASHFLOW!D12+CASHFLOW!D13+CASHFLOW!D14+CASHFLOW!D15))/1000</f>
        <v>-200.02435714285727</v>
      </c>
      <c r="K131" s="174">
        <f>(PL!E23+CAPEX!E45-CAPEX!E11-TAX!E13-(CASHFLOW!E11+CASHFLOW!E12+CASHFLOW!E13+CASHFLOW!E14+CASHFLOW!E15))/1000</f>
        <v>1742.4804428571431</v>
      </c>
      <c r="L131" s="174">
        <f>(PL!F23+CAPEX!F45-CAPEX!F11-TAX!F13-(CASHFLOW!F11+CASHFLOW!F12+CASHFLOW!F13+CASHFLOW!F14+CASHFLOW!F15))/1000</f>
        <v>4774.2679142857141</v>
      </c>
      <c r="M131" s="174">
        <f>(PL!G23+CAPEX!G45-CAPEX!G11-TAX!G13-(CASHFLOW!G11+CASHFLOW!G12+CASHFLOW!G13+CASHFLOW!G14+CASHFLOW!G15))/1000</f>
        <v>9596.2592857142845</v>
      </c>
    </row>
    <row r="132" spans="1:13" s="163" customFormat="1" x14ac:dyDescent="0.35">
      <c r="A132" s="163" t="s">
        <v>139</v>
      </c>
      <c r="B132" s="168">
        <f>365*1/((REVENUE!B25-REVENUE!B23)/WORKINGCAPITAL!C19)</f>
        <v>24.868467213114755</v>
      </c>
      <c r="C132" s="168">
        <f>365*1/((REVENUE!C25-REVENUE!C23)/WORKINGCAPITAL!D19)</f>
        <v>24.723246031746033</v>
      </c>
      <c r="D132" s="168">
        <f>365*1/((REVENUE!D25-REVENUE!D23)/WORKINGCAPITAL!E19)</f>
        <v>26.631559168241967</v>
      </c>
      <c r="E132" s="168">
        <f>365*1/((REVENUE!E25-REVENUE!E23)/WORKINGCAPITAL!F19)</f>
        <v>21.456677083333332</v>
      </c>
      <c r="F132" s="168">
        <f>365*1/((REVENUE!F25-REVENUE!F23)/WORKINGCAPITAL!G19)</f>
        <v>15.958057268722468</v>
      </c>
      <c r="H132" s="173"/>
      <c r="I132" s="173"/>
      <c r="J132" s="173"/>
      <c r="K132" s="173"/>
      <c r="L132" s="173"/>
      <c r="M132" s="173"/>
    </row>
    <row r="133" spans="1:13" s="163" customFormat="1" x14ac:dyDescent="0.35">
      <c r="H133" s="173"/>
      <c r="I133" s="173"/>
      <c r="J133" s="173"/>
      <c r="K133" s="173"/>
      <c r="L133" s="173"/>
      <c r="M133" s="173"/>
    </row>
    <row r="134" spans="1:13" s="163" customFormat="1" x14ac:dyDescent="0.35">
      <c r="H134" s="173"/>
      <c r="I134" s="173"/>
      <c r="J134" s="173"/>
      <c r="K134" s="173"/>
      <c r="L134" s="173"/>
      <c r="M134" s="173"/>
    </row>
    <row r="135" spans="1:13" s="163" customFormat="1" x14ac:dyDescent="0.35">
      <c r="B135" s="165"/>
    </row>
  </sheetData>
  <sheetProtection sheet="1" objects="1" scenarios="1" selectLockedCells="1" selectUnlockedCells="1"/>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1"/>
  <sheetViews>
    <sheetView zoomScale="74" zoomScaleNormal="74" workbookViewId="0">
      <selection activeCell="I23" sqref="I23"/>
    </sheetView>
  </sheetViews>
  <sheetFormatPr baseColWidth="10" defaultRowHeight="13.5" x14ac:dyDescent="0.3"/>
  <cols>
    <col min="1" max="1" width="25.1796875" style="87" customWidth="1"/>
    <col min="2" max="5" width="19.08984375" style="87" bestFit="1" customWidth="1"/>
    <col min="6" max="6" width="19" style="87" customWidth="1"/>
    <col min="7" max="16384" width="10.90625" style="87"/>
  </cols>
  <sheetData>
    <row r="1" spans="1:6" x14ac:dyDescent="0.3">
      <c r="A1" s="86"/>
    </row>
    <row r="2" spans="1:6" x14ac:dyDescent="0.3">
      <c r="B2" s="88"/>
      <c r="C2" s="88"/>
      <c r="D2" s="88" t="s">
        <v>1</v>
      </c>
      <c r="E2" s="88"/>
      <c r="F2" s="88"/>
    </row>
    <row r="3" spans="1:6" x14ac:dyDescent="0.3">
      <c r="A3" s="87" t="s">
        <v>0</v>
      </c>
      <c r="B3" s="88">
        <v>1</v>
      </c>
      <c r="C3" s="88">
        <v>2</v>
      </c>
      <c r="D3" s="88">
        <v>3</v>
      </c>
      <c r="E3" s="88">
        <v>4</v>
      </c>
      <c r="F3" s="88">
        <v>5</v>
      </c>
    </row>
    <row r="5" spans="1:6" x14ac:dyDescent="0.3">
      <c r="A5" s="86" t="s">
        <v>2</v>
      </c>
    </row>
    <row r="6" spans="1:6" x14ac:dyDescent="0.3">
      <c r="A6" s="87" t="s">
        <v>3</v>
      </c>
      <c r="B6" s="146">
        <v>7000</v>
      </c>
      <c r="C6" s="146">
        <v>9000</v>
      </c>
      <c r="D6" s="146">
        <v>40000</v>
      </c>
      <c r="E6" s="146">
        <v>60000</v>
      </c>
      <c r="F6" s="146">
        <v>90000</v>
      </c>
    </row>
    <row r="7" spans="1:6" x14ac:dyDescent="0.3">
      <c r="A7" s="87" t="s">
        <v>4</v>
      </c>
      <c r="B7" s="138">
        <v>120</v>
      </c>
      <c r="C7" s="138">
        <v>140</v>
      </c>
      <c r="D7" s="138">
        <v>140</v>
      </c>
      <c r="E7" s="138">
        <v>140</v>
      </c>
      <c r="F7" s="138">
        <v>140</v>
      </c>
    </row>
    <row r="8" spans="1:6" x14ac:dyDescent="0.3">
      <c r="A8" s="139" t="s">
        <v>5</v>
      </c>
      <c r="B8" s="140">
        <f>B6*B7</f>
        <v>840000</v>
      </c>
      <c r="C8" s="140">
        <f t="shared" ref="C8:F8" si="0">C6*C7</f>
        <v>1260000</v>
      </c>
      <c r="D8" s="140">
        <f t="shared" si="0"/>
        <v>5600000</v>
      </c>
      <c r="E8" s="140">
        <f t="shared" si="0"/>
        <v>8400000</v>
      </c>
      <c r="F8" s="140">
        <f t="shared" si="0"/>
        <v>12600000</v>
      </c>
    </row>
    <row r="9" spans="1:6" x14ac:dyDescent="0.3">
      <c r="B9" s="147"/>
      <c r="C9" s="147"/>
      <c r="D9" s="147"/>
      <c r="E9" s="147"/>
      <c r="F9" s="147"/>
    </row>
    <row r="10" spans="1:6" x14ac:dyDescent="0.3">
      <c r="A10" s="86" t="s">
        <v>6</v>
      </c>
      <c r="B10" s="147"/>
      <c r="C10" s="147"/>
      <c r="D10" s="147"/>
      <c r="E10" s="147"/>
      <c r="F10" s="147"/>
    </row>
    <row r="11" spans="1:6" x14ac:dyDescent="0.3">
      <c r="A11" s="87" t="s">
        <v>3</v>
      </c>
      <c r="B11" s="146">
        <v>5000</v>
      </c>
      <c r="C11" s="146">
        <v>10000</v>
      </c>
      <c r="D11" s="146">
        <v>24000</v>
      </c>
      <c r="E11" s="146">
        <v>60000</v>
      </c>
      <c r="F11" s="146">
        <v>130000</v>
      </c>
    </row>
    <row r="12" spans="1:6" x14ac:dyDescent="0.3">
      <c r="A12" s="87" t="s">
        <v>4</v>
      </c>
      <c r="B12" s="138">
        <v>200</v>
      </c>
      <c r="C12" s="138">
        <v>180</v>
      </c>
      <c r="D12" s="138">
        <v>170</v>
      </c>
      <c r="E12" s="138">
        <v>160</v>
      </c>
      <c r="F12" s="138">
        <v>160</v>
      </c>
    </row>
    <row r="13" spans="1:6" x14ac:dyDescent="0.3">
      <c r="A13" s="139" t="s">
        <v>7</v>
      </c>
      <c r="B13" s="140">
        <f>B11*B12</f>
        <v>1000000</v>
      </c>
      <c r="C13" s="140">
        <f t="shared" ref="C13:F13" si="1">C11*C12</f>
        <v>1800000</v>
      </c>
      <c r="D13" s="140">
        <f t="shared" si="1"/>
        <v>4080000</v>
      </c>
      <c r="E13" s="140">
        <f t="shared" si="1"/>
        <v>9600000</v>
      </c>
      <c r="F13" s="140">
        <f t="shared" si="1"/>
        <v>20800000</v>
      </c>
    </row>
    <row r="14" spans="1:6" x14ac:dyDescent="0.3">
      <c r="B14" s="147"/>
      <c r="C14" s="147"/>
      <c r="D14" s="147"/>
      <c r="E14" s="147"/>
      <c r="F14" s="147"/>
    </row>
    <row r="15" spans="1:6" x14ac:dyDescent="0.3">
      <c r="A15" s="86" t="s">
        <v>9</v>
      </c>
      <c r="B15" s="147"/>
      <c r="C15" s="147"/>
      <c r="D15" s="147"/>
      <c r="E15" s="147"/>
      <c r="F15" s="147"/>
    </row>
    <row r="16" spans="1:6" x14ac:dyDescent="0.3">
      <c r="A16" s="87" t="s">
        <v>3</v>
      </c>
      <c r="B16" s="146">
        <v>2000</v>
      </c>
      <c r="C16" s="146">
        <v>2400</v>
      </c>
      <c r="D16" s="146">
        <v>3000</v>
      </c>
      <c r="E16" s="146">
        <v>20000</v>
      </c>
      <c r="F16" s="146">
        <v>40000</v>
      </c>
    </row>
    <row r="17" spans="1:7" x14ac:dyDescent="0.3">
      <c r="A17" s="87" t="s">
        <v>4</v>
      </c>
      <c r="B17" s="138">
        <v>300</v>
      </c>
      <c r="C17" s="138">
        <v>300</v>
      </c>
      <c r="D17" s="138">
        <v>300</v>
      </c>
      <c r="E17" s="138">
        <v>300</v>
      </c>
      <c r="F17" s="138">
        <v>300</v>
      </c>
    </row>
    <row r="18" spans="1:7" x14ac:dyDescent="0.3">
      <c r="A18" s="139" t="s">
        <v>10</v>
      </c>
      <c r="B18" s="140">
        <f>B16*B17</f>
        <v>600000</v>
      </c>
      <c r="C18" s="140">
        <f t="shared" ref="C18:F18" si="2">C16*C17</f>
        <v>720000</v>
      </c>
      <c r="D18" s="140">
        <f t="shared" si="2"/>
        <v>900000</v>
      </c>
      <c r="E18" s="140">
        <f t="shared" si="2"/>
        <v>6000000</v>
      </c>
      <c r="F18" s="140">
        <f t="shared" si="2"/>
        <v>12000000</v>
      </c>
    </row>
    <row r="19" spans="1:7" x14ac:dyDescent="0.3">
      <c r="B19" s="147"/>
      <c r="C19" s="147"/>
      <c r="D19" s="147"/>
      <c r="E19" s="147"/>
      <c r="F19" s="147"/>
    </row>
    <row r="20" spans="1:7" x14ac:dyDescent="0.3">
      <c r="A20" s="86" t="s">
        <v>8</v>
      </c>
      <c r="B20" s="147"/>
      <c r="C20" s="147"/>
      <c r="D20" s="147"/>
      <c r="E20" s="147"/>
      <c r="F20" s="147"/>
    </row>
    <row r="21" spans="1:7" x14ac:dyDescent="0.3">
      <c r="A21" s="87" t="s">
        <v>11</v>
      </c>
      <c r="B21" s="146">
        <v>1000</v>
      </c>
      <c r="C21" s="146">
        <v>1500</v>
      </c>
      <c r="D21" s="146">
        <v>1800</v>
      </c>
      <c r="E21" s="146">
        <v>2500</v>
      </c>
      <c r="F21" s="146">
        <v>4000</v>
      </c>
    </row>
    <row r="22" spans="1:7" x14ac:dyDescent="0.3">
      <c r="A22" s="87" t="s">
        <v>12</v>
      </c>
      <c r="B22" s="138">
        <v>550</v>
      </c>
      <c r="C22" s="138">
        <v>550</v>
      </c>
      <c r="D22" s="138">
        <v>550</v>
      </c>
      <c r="E22" s="138">
        <v>550</v>
      </c>
      <c r="F22" s="138">
        <v>550</v>
      </c>
    </row>
    <row r="23" spans="1:7" x14ac:dyDescent="0.3">
      <c r="A23" s="139" t="s">
        <v>13</v>
      </c>
      <c r="B23" s="140">
        <f>B21*B22</f>
        <v>550000</v>
      </c>
      <c r="C23" s="140">
        <f t="shared" ref="C23:F23" si="3">C21*C22</f>
        <v>825000</v>
      </c>
      <c r="D23" s="140">
        <f t="shared" si="3"/>
        <v>990000</v>
      </c>
      <c r="E23" s="140">
        <f t="shared" si="3"/>
        <v>1375000</v>
      </c>
      <c r="F23" s="140">
        <f t="shared" si="3"/>
        <v>2200000</v>
      </c>
    </row>
    <row r="24" spans="1:7" x14ac:dyDescent="0.3">
      <c r="B24" s="148"/>
      <c r="C24" s="148"/>
      <c r="D24" s="148"/>
      <c r="E24" s="148"/>
      <c r="F24" s="148"/>
    </row>
    <row r="25" spans="1:7" ht="14" thickBot="1" x14ac:dyDescent="0.35">
      <c r="A25" s="86" t="s">
        <v>14</v>
      </c>
      <c r="B25" s="149">
        <f>SUM(B8,B13,B18,B23)</f>
        <v>2990000</v>
      </c>
      <c r="C25" s="149">
        <f t="shared" ref="C25:F25" si="4">SUM(C8,C13,C18,C23)</f>
        <v>4605000</v>
      </c>
      <c r="D25" s="149">
        <f t="shared" si="4"/>
        <v>11570000</v>
      </c>
      <c r="E25" s="149">
        <f t="shared" si="4"/>
        <v>25375000</v>
      </c>
      <c r="F25" s="149">
        <f t="shared" si="4"/>
        <v>47600000</v>
      </c>
    </row>
    <row r="26" spans="1:7" ht="14" thickTop="1" x14ac:dyDescent="0.3">
      <c r="A26" s="86"/>
      <c r="B26" s="150"/>
      <c r="C26" s="150"/>
      <c r="D26" s="150"/>
      <c r="E26" s="150"/>
      <c r="F26" s="150"/>
    </row>
    <row r="27" spans="1:7" x14ac:dyDescent="0.3">
      <c r="A27" s="91"/>
      <c r="B27" s="91"/>
      <c r="C27" s="91"/>
      <c r="D27" s="91"/>
      <c r="E27" s="91"/>
      <c r="F27" s="91"/>
      <c r="G27" s="91"/>
    </row>
    <row r="28" spans="1:7" x14ac:dyDescent="0.3">
      <c r="A28" s="91"/>
      <c r="B28" s="91"/>
      <c r="D28" s="151"/>
      <c r="E28" s="91"/>
      <c r="F28" s="91"/>
      <c r="G28" s="91"/>
    </row>
    <row r="29" spans="1:7" x14ac:dyDescent="0.3">
      <c r="A29" s="91"/>
      <c r="B29" s="152"/>
      <c r="C29" s="152"/>
      <c r="D29" s="152" t="s">
        <v>1</v>
      </c>
      <c r="E29" s="152"/>
      <c r="F29" s="152"/>
      <c r="G29" s="91"/>
    </row>
    <row r="30" spans="1:7" x14ac:dyDescent="0.3">
      <c r="A30" s="91"/>
      <c r="B30" s="152">
        <v>1</v>
      </c>
      <c r="C30" s="152">
        <v>2</v>
      </c>
      <c r="D30" s="152">
        <v>3</v>
      </c>
      <c r="E30" s="152">
        <v>4</v>
      </c>
      <c r="F30" s="152">
        <v>5</v>
      </c>
      <c r="G30" s="91"/>
    </row>
    <row r="31" spans="1:7" x14ac:dyDescent="0.3">
      <c r="A31" s="91" t="s">
        <v>266</v>
      </c>
      <c r="B31" s="153">
        <v>8.3299999999999999E-2</v>
      </c>
      <c r="C31" s="153">
        <v>8.3299999999999999E-2</v>
      </c>
      <c r="D31" s="153">
        <v>8.3299999999999999E-2</v>
      </c>
      <c r="E31" s="153">
        <v>8.3299999999999999E-2</v>
      </c>
      <c r="F31" s="153">
        <v>8.3299999999999999E-2</v>
      </c>
      <c r="G31" s="91"/>
    </row>
    <row r="32" spans="1:7" x14ac:dyDescent="0.3">
      <c r="A32" s="91" t="s">
        <v>267</v>
      </c>
      <c r="B32" s="153">
        <v>8.3299999999999999E-2</v>
      </c>
      <c r="C32" s="153">
        <v>8.3299999999999999E-2</v>
      </c>
      <c r="D32" s="153">
        <v>8.3299999999999999E-2</v>
      </c>
      <c r="E32" s="153">
        <v>8.3299999999999999E-2</v>
      </c>
      <c r="F32" s="153">
        <v>8.3299999999999999E-2</v>
      </c>
      <c r="G32" s="91"/>
    </row>
    <row r="33" spans="1:7" x14ac:dyDescent="0.3">
      <c r="A33" s="91" t="s">
        <v>268</v>
      </c>
      <c r="B33" s="153">
        <v>8.3299999999999999E-2</v>
      </c>
      <c r="C33" s="153">
        <v>8.3299999999999999E-2</v>
      </c>
      <c r="D33" s="153">
        <v>8.3299999999999999E-2</v>
      </c>
      <c r="E33" s="153">
        <v>8.3299999999999999E-2</v>
      </c>
      <c r="F33" s="153">
        <v>8.3299999999999999E-2</v>
      </c>
      <c r="G33" s="91"/>
    </row>
    <row r="34" spans="1:7" x14ac:dyDescent="0.3">
      <c r="A34" s="105" t="s">
        <v>278</v>
      </c>
      <c r="B34" s="154">
        <f>SUM(B31:B33)</f>
        <v>0.24990000000000001</v>
      </c>
      <c r="C34" s="154">
        <f t="shared" ref="C34:F34" si="5">SUM(C31:C33)</f>
        <v>0.24990000000000001</v>
      </c>
      <c r="D34" s="154">
        <f t="shared" si="5"/>
        <v>0.24990000000000001</v>
      </c>
      <c r="E34" s="154">
        <f t="shared" si="5"/>
        <v>0.24990000000000001</v>
      </c>
      <c r="F34" s="154">
        <f t="shared" si="5"/>
        <v>0.24990000000000001</v>
      </c>
      <c r="G34" s="91"/>
    </row>
    <row r="35" spans="1:7" x14ac:dyDescent="0.3">
      <c r="A35" s="91" t="s">
        <v>269</v>
      </c>
      <c r="B35" s="153">
        <v>8.3299999999999999E-2</v>
      </c>
      <c r="C35" s="153">
        <v>8.3299999999999999E-2</v>
      </c>
      <c r="D35" s="153">
        <v>8.3299999999999999E-2</v>
      </c>
      <c r="E35" s="153">
        <v>8.3299999999999999E-2</v>
      </c>
      <c r="F35" s="153">
        <v>8.3299999999999999E-2</v>
      </c>
      <c r="G35" s="91"/>
    </row>
    <row r="36" spans="1:7" x14ac:dyDescent="0.3">
      <c r="A36" s="91" t="s">
        <v>270</v>
      </c>
      <c r="B36" s="153">
        <v>8.3299999999999999E-2</v>
      </c>
      <c r="C36" s="153">
        <v>8.3299999999999999E-2</v>
      </c>
      <c r="D36" s="153">
        <v>8.3299999999999999E-2</v>
      </c>
      <c r="E36" s="153">
        <v>8.3299999999999999E-2</v>
      </c>
      <c r="F36" s="153">
        <v>8.3299999999999999E-2</v>
      </c>
      <c r="G36" s="91"/>
    </row>
    <row r="37" spans="1:7" x14ac:dyDescent="0.3">
      <c r="A37" s="91" t="s">
        <v>271</v>
      </c>
      <c r="B37" s="153">
        <v>8.3299999999999999E-2</v>
      </c>
      <c r="C37" s="153">
        <v>8.3299999999999999E-2</v>
      </c>
      <c r="D37" s="153">
        <v>8.3299999999999999E-2</v>
      </c>
      <c r="E37" s="153">
        <v>8.3299999999999999E-2</v>
      </c>
      <c r="F37" s="153">
        <v>8.3299999999999999E-2</v>
      </c>
      <c r="G37" s="91"/>
    </row>
    <row r="38" spans="1:7" x14ac:dyDescent="0.3">
      <c r="A38" s="105" t="s">
        <v>279</v>
      </c>
      <c r="B38" s="154">
        <f>SUM(B35:B37)</f>
        <v>0.24990000000000001</v>
      </c>
      <c r="C38" s="154">
        <f t="shared" ref="C38:F38" si="6">SUM(C35:C37)</f>
        <v>0.24990000000000001</v>
      </c>
      <c r="D38" s="154">
        <f t="shared" si="6"/>
        <v>0.24990000000000001</v>
      </c>
      <c r="E38" s="154">
        <f t="shared" si="6"/>
        <v>0.24990000000000001</v>
      </c>
      <c r="F38" s="154">
        <f t="shared" si="6"/>
        <v>0.24990000000000001</v>
      </c>
      <c r="G38" s="91"/>
    </row>
    <row r="39" spans="1:7" x14ac:dyDescent="0.3">
      <c r="A39" s="91" t="s">
        <v>272</v>
      </c>
      <c r="B39" s="153">
        <v>8.3299999999999999E-2</v>
      </c>
      <c r="C39" s="153">
        <v>8.3299999999999999E-2</v>
      </c>
      <c r="D39" s="153">
        <v>8.3299999999999999E-2</v>
      </c>
      <c r="E39" s="153">
        <v>8.3299999999999999E-2</v>
      </c>
      <c r="F39" s="153">
        <v>8.3299999999999999E-2</v>
      </c>
      <c r="G39" s="91"/>
    </row>
    <row r="40" spans="1:7" x14ac:dyDescent="0.3">
      <c r="A40" s="91" t="s">
        <v>273</v>
      </c>
      <c r="B40" s="153">
        <v>8.3299999999999999E-2</v>
      </c>
      <c r="C40" s="153">
        <v>8.3299999999999999E-2</v>
      </c>
      <c r="D40" s="153">
        <v>8.3299999999999999E-2</v>
      </c>
      <c r="E40" s="153">
        <v>8.3299999999999999E-2</v>
      </c>
      <c r="F40" s="153">
        <v>8.3299999999999999E-2</v>
      </c>
      <c r="G40" s="91"/>
    </row>
    <row r="41" spans="1:7" x14ac:dyDescent="0.3">
      <c r="A41" s="91" t="s">
        <v>274</v>
      </c>
      <c r="B41" s="153">
        <v>8.3400000000000002E-2</v>
      </c>
      <c r="C41" s="153">
        <v>8.3400000000000002E-2</v>
      </c>
      <c r="D41" s="153">
        <v>8.3400000000000002E-2</v>
      </c>
      <c r="E41" s="153">
        <v>8.3400000000000002E-2</v>
      </c>
      <c r="F41" s="153">
        <v>8.3400000000000002E-2</v>
      </c>
      <c r="G41" s="91"/>
    </row>
    <row r="42" spans="1:7" x14ac:dyDescent="0.3">
      <c r="A42" s="105" t="s">
        <v>280</v>
      </c>
      <c r="B42" s="154">
        <f>SUM(B39:B41)</f>
        <v>0.25</v>
      </c>
      <c r="C42" s="154">
        <f t="shared" ref="C42:F42" si="7">SUM(C39:C41)</f>
        <v>0.25</v>
      </c>
      <c r="D42" s="154">
        <f t="shared" si="7"/>
        <v>0.25</v>
      </c>
      <c r="E42" s="154">
        <f t="shared" si="7"/>
        <v>0.25</v>
      </c>
      <c r="F42" s="154">
        <f t="shared" si="7"/>
        <v>0.25</v>
      </c>
      <c r="G42" s="91"/>
    </row>
    <row r="43" spans="1:7" x14ac:dyDescent="0.3">
      <c r="A43" s="91" t="s">
        <v>275</v>
      </c>
      <c r="B43" s="153">
        <v>8.3400000000000002E-2</v>
      </c>
      <c r="C43" s="153">
        <v>8.3400000000000002E-2</v>
      </c>
      <c r="D43" s="153">
        <v>8.3400000000000002E-2</v>
      </c>
      <c r="E43" s="153">
        <v>8.3400000000000002E-2</v>
      </c>
      <c r="F43" s="153">
        <v>8.3400000000000002E-2</v>
      </c>
      <c r="G43" s="91"/>
    </row>
    <row r="44" spans="1:7" x14ac:dyDescent="0.3">
      <c r="A44" s="91" t="s">
        <v>276</v>
      </c>
      <c r="B44" s="153">
        <v>8.3400000000000002E-2</v>
      </c>
      <c r="C44" s="153">
        <v>8.3400000000000002E-2</v>
      </c>
      <c r="D44" s="153">
        <v>8.3400000000000002E-2</v>
      </c>
      <c r="E44" s="153">
        <v>8.3400000000000002E-2</v>
      </c>
      <c r="F44" s="153">
        <v>8.3400000000000002E-2</v>
      </c>
      <c r="G44" s="91"/>
    </row>
    <row r="45" spans="1:7" x14ac:dyDescent="0.3">
      <c r="A45" s="91" t="s">
        <v>277</v>
      </c>
      <c r="B45" s="153">
        <v>8.3400000000000002E-2</v>
      </c>
      <c r="C45" s="153">
        <v>8.3400000000000002E-2</v>
      </c>
      <c r="D45" s="153">
        <v>8.3400000000000002E-2</v>
      </c>
      <c r="E45" s="153">
        <v>8.3400000000000002E-2</v>
      </c>
      <c r="F45" s="153">
        <v>8.3400000000000002E-2</v>
      </c>
      <c r="G45" s="91"/>
    </row>
    <row r="46" spans="1:7" x14ac:dyDescent="0.3">
      <c r="A46" s="105" t="s">
        <v>281</v>
      </c>
      <c r="B46" s="155">
        <f>SUM(B43:B45)</f>
        <v>0.25019999999999998</v>
      </c>
      <c r="C46" s="155">
        <f t="shared" ref="C46:F46" si="8">SUM(C43:C45)</f>
        <v>0.25019999999999998</v>
      </c>
      <c r="D46" s="155">
        <f t="shared" si="8"/>
        <v>0.25019999999999998</v>
      </c>
      <c r="E46" s="155">
        <f t="shared" si="8"/>
        <v>0.25019999999999998</v>
      </c>
      <c r="F46" s="155">
        <f t="shared" si="8"/>
        <v>0.25019999999999998</v>
      </c>
      <c r="G46" s="91"/>
    </row>
    <row r="47" spans="1:7" x14ac:dyDescent="0.3">
      <c r="A47" s="156" t="s">
        <v>282</v>
      </c>
      <c r="B47" s="157">
        <f>SUM(B34,B38,B42,B46)</f>
        <v>1</v>
      </c>
      <c r="C47" s="157">
        <f t="shared" ref="C47:F47" si="9">SUM(C34,C38,C42,C46)</f>
        <v>1</v>
      </c>
      <c r="D47" s="157">
        <f t="shared" si="9"/>
        <v>1</v>
      </c>
      <c r="E47" s="157">
        <f t="shared" si="9"/>
        <v>1</v>
      </c>
      <c r="F47" s="157">
        <f t="shared" si="9"/>
        <v>1</v>
      </c>
      <c r="G47" s="91"/>
    </row>
    <row r="48" spans="1:7" x14ac:dyDescent="0.3">
      <c r="A48" s="91"/>
      <c r="B48" s="91"/>
      <c r="C48" s="91"/>
      <c r="D48" s="91"/>
      <c r="E48" s="91"/>
      <c r="F48" s="91"/>
      <c r="G48" s="91"/>
    </row>
    <row r="49" spans="1:7" x14ac:dyDescent="0.3">
      <c r="A49" s="61"/>
      <c r="B49" s="61"/>
      <c r="C49" s="50" t="s">
        <v>235</v>
      </c>
      <c r="D49" s="61"/>
      <c r="E49" s="61"/>
      <c r="F49" s="61"/>
      <c r="G49" s="91"/>
    </row>
    <row r="50" spans="1:7" x14ac:dyDescent="0.3">
      <c r="A50" s="61"/>
      <c r="B50" s="158" t="s">
        <v>283</v>
      </c>
      <c r="C50" s="61"/>
      <c r="D50" s="61"/>
      <c r="E50" s="61"/>
      <c r="F50" s="61"/>
      <c r="G50" s="91"/>
    </row>
    <row r="51" spans="1:7" x14ac:dyDescent="0.3">
      <c r="A51" s="61"/>
      <c r="B51" s="26"/>
      <c r="C51" s="26"/>
      <c r="D51" s="26" t="s">
        <v>1</v>
      </c>
      <c r="E51" s="26"/>
      <c r="F51" s="26"/>
      <c r="G51" s="91"/>
    </row>
    <row r="52" spans="1:7" x14ac:dyDescent="0.3">
      <c r="A52" s="61"/>
      <c r="B52" s="26">
        <v>1</v>
      </c>
      <c r="C52" s="26">
        <v>2</v>
      </c>
      <c r="D52" s="26">
        <v>3</v>
      </c>
      <c r="E52" s="26">
        <v>4</v>
      </c>
      <c r="F52" s="26">
        <v>5</v>
      </c>
      <c r="G52" s="91"/>
    </row>
    <row r="53" spans="1:7" x14ac:dyDescent="0.3">
      <c r="A53" s="61" t="s">
        <v>266</v>
      </c>
      <c r="B53" s="159">
        <f>$B$25*B31</f>
        <v>249067</v>
      </c>
      <c r="C53" s="159">
        <f>$C$25*C31</f>
        <v>383596.5</v>
      </c>
      <c r="D53" s="159">
        <f>$D$25*D31</f>
        <v>963781</v>
      </c>
      <c r="E53" s="159">
        <f>$E$25*E31</f>
        <v>2113737.5</v>
      </c>
      <c r="F53" s="159">
        <f>$F$25*F31</f>
        <v>3965080</v>
      </c>
      <c r="G53" s="91"/>
    </row>
    <row r="54" spans="1:7" x14ac:dyDescent="0.3">
      <c r="A54" s="61" t="s">
        <v>267</v>
      </c>
      <c r="B54" s="159">
        <f t="shared" ref="B54:B69" si="10">$B$25*B32</f>
        <v>249067</v>
      </c>
      <c r="C54" s="159">
        <f t="shared" ref="C54:C69" si="11">$C$25*C32</f>
        <v>383596.5</v>
      </c>
      <c r="D54" s="159">
        <f t="shared" ref="D54:D69" si="12">$D$25*D32</f>
        <v>963781</v>
      </c>
      <c r="E54" s="159">
        <f t="shared" ref="E54:E69" si="13">$E$25*E32</f>
        <v>2113737.5</v>
      </c>
      <c r="F54" s="159">
        <f t="shared" ref="F54:F69" si="14">$F$25*F32</f>
        <v>3965080</v>
      </c>
      <c r="G54" s="91"/>
    </row>
    <row r="55" spans="1:7" x14ac:dyDescent="0.3">
      <c r="A55" s="61" t="s">
        <v>268</v>
      </c>
      <c r="B55" s="160">
        <f t="shared" si="10"/>
        <v>249067</v>
      </c>
      <c r="C55" s="160">
        <f t="shared" si="11"/>
        <v>383596.5</v>
      </c>
      <c r="D55" s="160">
        <f t="shared" si="12"/>
        <v>963781</v>
      </c>
      <c r="E55" s="160">
        <f t="shared" si="13"/>
        <v>2113737.5</v>
      </c>
      <c r="F55" s="160">
        <f t="shared" si="14"/>
        <v>3965080</v>
      </c>
      <c r="G55" s="91"/>
    </row>
    <row r="56" spans="1:7" x14ac:dyDescent="0.3">
      <c r="A56" s="135" t="s">
        <v>278</v>
      </c>
      <c r="B56" s="160">
        <f t="shared" si="10"/>
        <v>747201</v>
      </c>
      <c r="C56" s="160">
        <f t="shared" si="11"/>
        <v>1150789.5</v>
      </c>
      <c r="D56" s="160">
        <f t="shared" si="12"/>
        <v>2891343</v>
      </c>
      <c r="E56" s="160">
        <f t="shared" si="13"/>
        <v>6341212.5</v>
      </c>
      <c r="F56" s="160">
        <f t="shared" si="14"/>
        <v>11895240</v>
      </c>
      <c r="G56" s="91"/>
    </row>
    <row r="57" spans="1:7" x14ac:dyDescent="0.3">
      <c r="A57" s="61" t="s">
        <v>269</v>
      </c>
      <c r="B57" s="160">
        <f t="shared" si="10"/>
        <v>249067</v>
      </c>
      <c r="C57" s="160">
        <f t="shared" si="11"/>
        <v>383596.5</v>
      </c>
      <c r="D57" s="160">
        <f t="shared" si="12"/>
        <v>963781</v>
      </c>
      <c r="E57" s="160">
        <f t="shared" si="13"/>
        <v>2113737.5</v>
      </c>
      <c r="F57" s="160">
        <f t="shared" si="14"/>
        <v>3965080</v>
      </c>
      <c r="G57" s="91"/>
    </row>
    <row r="58" spans="1:7" x14ac:dyDescent="0.3">
      <c r="A58" s="61" t="s">
        <v>270</v>
      </c>
      <c r="B58" s="160">
        <f t="shared" si="10"/>
        <v>249067</v>
      </c>
      <c r="C58" s="160">
        <f t="shared" si="11"/>
        <v>383596.5</v>
      </c>
      <c r="D58" s="160">
        <f t="shared" si="12"/>
        <v>963781</v>
      </c>
      <c r="E58" s="160">
        <f t="shared" si="13"/>
        <v>2113737.5</v>
      </c>
      <c r="F58" s="160">
        <f t="shared" si="14"/>
        <v>3965080</v>
      </c>
      <c r="G58" s="91"/>
    </row>
    <row r="59" spans="1:7" x14ac:dyDescent="0.3">
      <c r="A59" s="61" t="s">
        <v>271</v>
      </c>
      <c r="B59" s="160">
        <f t="shared" si="10"/>
        <v>249067</v>
      </c>
      <c r="C59" s="160">
        <f t="shared" si="11"/>
        <v>383596.5</v>
      </c>
      <c r="D59" s="160">
        <f t="shared" si="12"/>
        <v>963781</v>
      </c>
      <c r="E59" s="160">
        <f t="shared" si="13"/>
        <v>2113737.5</v>
      </c>
      <c r="F59" s="160">
        <f t="shared" si="14"/>
        <v>3965080</v>
      </c>
      <c r="G59" s="91"/>
    </row>
    <row r="60" spans="1:7" x14ac:dyDescent="0.3">
      <c r="A60" s="135" t="s">
        <v>279</v>
      </c>
      <c r="B60" s="160">
        <f t="shared" si="10"/>
        <v>747201</v>
      </c>
      <c r="C60" s="160">
        <f t="shared" si="11"/>
        <v>1150789.5</v>
      </c>
      <c r="D60" s="160">
        <f t="shared" si="12"/>
        <v>2891343</v>
      </c>
      <c r="E60" s="160">
        <f t="shared" si="13"/>
        <v>6341212.5</v>
      </c>
      <c r="F60" s="160">
        <f t="shared" si="14"/>
        <v>11895240</v>
      </c>
      <c r="G60" s="91"/>
    </row>
    <row r="61" spans="1:7" x14ac:dyDescent="0.3">
      <c r="A61" s="61" t="s">
        <v>272</v>
      </c>
      <c r="B61" s="160">
        <f t="shared" si="10"/>
        <v>249067</v>
      </c>
      <c r="C61" s="160">
        <f t="shared" si="11"/>
        <v>383596.5</v>
      </c>
      <c r="D61" s="160">
        <f t="shared" si="12"/>
        <v>963781</v>
      </c>
      <c r="E61" s="160">
        <f t="shared" si="13"/>
        <v>2113737.5</v>
      </c>
      <c r="F61" s="160">
        <f t="shared" si="14"/>
        <v>3965080</v>
      </c>
      <c r="G61" s="91"/>
    </row>
    <row r="62" spans="1:7" x14ac:dyDescent="0.3">
      <c r="A62" s="61" t="s">
        <v>273</v>
      </c>
      <c r="B62" s="160">
        <f t="shared" si="10"/>
        <v>249067</v>
      </c>
      <c r="C62" s="160">
        <f t="shared" si="11"/>
        <v>383596.5</v>
      </c>
      <c r="D62" s="160">
        <f t="shared" si="12"/>
        <v>963781</v>
      </c>
      <c r="E62" s="160">
        <f t="shared" si="13"/>
        <v>2113737.5</v>
      </c>
      <c r="F62" s="160">
        <f t="shared" si="14"/>
        <v>3965080</v>
      </c>
      <c r="G62" s="91"/>
    </row>
    <row r="63" spans="1:7" x14ac:dyDescent="0.3">
      <c r="A63" s="61" t="s">
        <v>274</v>
      </c>
      <c r="B63" s="160">
        <f t="shared" si="10"/>
        <v>249366</v>
      </c>
      <c r="C63" s="160">
        <f t="shared" si="11"/>
        <v>384057</v>
      </c>
      <c r="D63" s="160">
        <f t="shared" si="12"/>
        <v>964938</v>
      </c>
      <c r="E63" s="160">
        <f t="shared" si="13"/>
        <v>2116275</v>
      </c>
      <c r="F63" s="160">
        <f t="shared" si="14"/>
        <v>3969840</v>
      </c>
      <c r="G63" s="91"/>
    </row>
    <row r="64" spans="1:7" x14ac:dyDescent="0.3">
      <c r="A64" s="135" t="s">
        <v>280</v>
      </c>
      <c r="B64" s="160">
        <f t="shared" si="10"/>
        <v>747500</v>
      </c>
      <c r="C64" s="160">
        <f t="shared" si="11"/>
        <v>1151250</v>
      </c>
      <c r="D64" s="160">
        <f t="shared" si="12"/>
        <v>2892500</v>
      </c>
      <c r="E64" s="160">
        <f t="shared" si="13"/>
        <v>6343750</v>
      </c>
      <c r="F64" s="160">
        <f t="shared" si="14"/>
        <v>11900000</v>
      </c>
      <c r="G64" s="91"/>
    </row>
    <row r="65" spans="1:7" x14ac:dyDescent="0.3">
      <c r="A65" s="61" t="s">
        <v>275</v>
      </c>
      <c r="B65" s="160">
        <f t="shared" si="10"/>
        <v>249366</v>
      </c>
      <c r="C65" s="160">
        <f t="shared" si="11"/>
        <v>384057</v>
      </c>
      <c r="D65" s="160">
        <f t="shared" si="12"/>
        <v>964938</v>
      </c>
      <c r="E65" s="160">
        <f t="shared" si="13"/>
        <v>2116275</v>
      </c>
      <c r="F65" s="160">
        <f t="shared" si="14"/>
        <v>3969840</v>
      </c>
      <c r="G65" s="91"/>
    </row>
    <row r="66" spans="1:7" x14ac:dyDescent="0.3">
      <c r="A66" s="61" t="s">
        <v>276</v>
      </c>
      <c r="B66" s="160">
        <f t="shared" si="10"/>
        <v>249366</v>
      </c>
      <c r="C66" s="160">
        <f t="shared" si="11"/>
        <v>384057</v>
      </c>
      <c r="D66" s="160">
        <f t="shared" si="12"/>
        <v>964938</v>
      </c>
      <c r="E66" s="160">
        <f t="shared" si="13"/>
        <v>2116275</v>
      </c>
      <c r="F66" s="160">
        <f t="shared" si="14"/>
        <v>3969840</v>
      </c>
      <c r="G66" s="91"/>
    </row>
    <row r="67" spans="1:7" x14ac:dyDescent="0.3">
      <c r="A67" s="61" t="s">
        <v>277</v>
      </c>
      <c r="B67" s="160">
        <f t="shared" si="10"/>
        <v>249366</v>
      </c>
      <c r="C67" s="160">
        <f t="shared" si="11"/>
        <v>384057</v>
      </c>
      <c r="D67" s="160">
        <f t="shared" si="12"/>
        <v>964938</v>
      </c>
      <c r="E67" s="160">
        <f t="shared" si="13"/>
        <v>2116275</v>
      </c>
      <c r="F67" s="160">
        <f t="shared" si="14"/>
        <v>3969840</v>
      </c>
      <c r="G67" s="91"/>
    </row>
    <row r="68" spans="1:7" x14ac:dyDescent="0.3">
      <c r="A68" s="135" t="s">
        <v>281</v>
      </c>
      <c r="B68" s="160">
        <f t="shared" si="10"/>
        <v>748097.99999999988</v>
      </c>
      <c r="C68" s="160">
        <f t="shared" si="11"/>
        <v>1152171</v>
      </c>
      <c r="D68" s="160">
        <f t="shared" si="12"/>
        <v>2894813.9999999995</v>
      </c>
      <c r="E68" s="160">
        <f t="shared" si="13"/>
        <v>6348824.9999999991</v>
      </c>
      <c r="F68" s="160">
        <f t="shared" si="14"/>
        <v>11909519.999999998</v>
      </c>
      <c r="G68" s="91"/>
    </row>
    <row r="69" spans="1:7" x14ac:dyDescent="0.3">
      <c r="A69" s="135" t="s">
        <v>282</v>
      </c>
      <c r="B69" s="160">
        <f t="shared" si="10"/>
        <v>2990000</v>
      </c>
      <c r="C69" s="160">
        <f t="shared" si="11"/>
        <v>4605000</v>
      </c>
      <c r="D69" s="160">
        <f t="shared" si="12"/>
        <v>11570000</v>
      </c>
      <c r="E69" s="160">
        <f t="shared" si="13"/>
        <v>25375000</v>
      </c>
      <c r="F69" s="160">
        <f t="shared" si="14"/>
        <v>47600000</v>
      </c>
      <c r="G69" s="91"/>
    </row>
    <row r="70" spans="1:7" x14ac:dyDescent="0.3">
      <c r="A70" s="61"/>
      <c r="B70" s="61"/>
      <c r="C70" s="61"/>
      <c r="D70" s="61"/>
      <c r="E70" s="61"/>
      <c r="F70" s="61"/>
    </row>
    <row r="71" spans="1:7" x14ac:dyDescent="0.3">
      <c r="A71" s="61"/>
      <c r="B71" s="61"/>
      <c r="C71" s="61"/>
      <c r="D71" s="61"/>
      <c r="E71" s="61"/>
      <c r="F71" s="61"/>
    </row>
  </sheetData>
  <sheetProtection algorithmName="SHA-512" hashValue="J+GYQ8zpE/SSCiC4SK9YipLQl6XjeQOyH1gByPQbm3T6Gqj7tqYHU2xa+u1YpYrOwxelWKU8fEuAAJu5onoH8g==" saltValue="ljwOO1d80m87s9wC/ZRKyw==" spinCount="100000" sheet="1" objects="1" scenarios="1"/>
  <pageMargins left="0.7" right="0.7" top="0.78740157499999996" bottom="0.78740157499999996" header="0.3" footer="0.3"/>
  <pageSetup paperSize="9" orientation="portrait" r:id="rId1"/>
  <ignoredErrors>
    <ignoredError sqref="B34:C34 D34:F34"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I72"/>
  <sheetViews>
    <sheetView zoomScale="84" zoomScaleNormal="84" workbookViewId="0">
      <selection activeCell="A67" sqref="A67"/>
    </sheetView>
  </sheetViews>
  <sheetFormatPr baseColWidth="10" defaultRowHeight="13.5" x14ac:dyDescent="0.3"/>
  <cols>
    <col min="1" max="1" width="35.7265625" style="87" customWidth="1"/>
    <col min="2" max="2" width="18.6328125" style="87" customWidth="1"/>
    <col min="3" max="3" width="19.26953125" style="87" customWidth="1"/>
    <col min="4" max="4" width="20.08984375" style="87" customWidth="1"/>
    <col min="5" max="5" width="18.7265625" style="87" customWidth="1"/>
    <col min="6" max="6" width="18.81640625" style="87" customWidth="1"/>
    <col min="7" max="16384" width="10.90625" style="87"/>
  </cols>
  <sheetData>
    <row r="2" spans="1:9" x14ac:dyDescent="0.3">
      <c r="B2" s="88"/>
      <c r="C2" s="88"/>
      <c r="D2" s="88" t="s">
        <v>1</v>
      </c>
      <c r="E2" s="88"/>
      <c r="F2" s="88"/>
    </row>
    <row r="3" spans="1:9" x14ac:dyDescent="0.3">
      <c r="A3" s="87" t="s">
        <v>15</v>
      </c>
      <c r="B3" s="88">
        <v>1</v>
      </c>
      <c r="C3" s="88">
        <v>2</v>
      </c>
      <c r="D3" s="88">
        <v>3</v>
      </c>
      <c r="E3" s="88">
        <v>4</v>
      </c>
      <c r="F3" s="88">
        <v>5</v>
      </c>
    </row>
    <row r="5" spans="1:9" x14ac:dyDescent="0.3">
      <c r="A5" s="86" t="s">
        <v>2</v>
      </c>
    </row>
    <row r="6" spans="1:9" x14ac:dyDescent="0.3">
      <c r="A6" s="103" t="s">
        <v>16</v>
      </c>
      <c r="B6" s="138">
        <v>24</v>
      </c>
      <c r="C6" s="138">
        <v>23</v>
      </c>
      <c r="D6" s="138">
        <v>22</v>
      </c>
      <c r="E6" s="138">
        <v>21</v>
      </c>
      <c r="F6" s="138">
        <v>20</v>
      </c>
    </row>
    <row r="7" spans="1:9" x14ac:dyDescent="0.3">
      <c r="A7" s="103" t="s">
        <v>17</v>
      </c>
      <c r="B7" s="138">
        <v>11</v>
      </c>
      <c r="C7" s="138">
        <v>11</v>
      </c>
      <c r="D7" s="138">
        <v>9</v>
      </c>
      <c r="E7" s="138">
        <v>6</v>
      </c>
      <c r="F7" s="138">
        <v>4</v>
      </c>
    </row>
    <row r="8" spans="1:9" x14ac:dyDescent="0.3">
      <c r="A8" s="42" t="s">
        <v>18</v>
      </c>
      <c r="B8" s="141">
        <f>SUM(B6:B7)</f>
        <v>35</v>
      </c>
      <c r="C8" s="141">
        <f t="shared" ref="C8:F8" si="0">SUM(C6:C7)</f>
        <v>34</v>
      </c>
      <c r="D8" s="141">
        <f t="shared" si="0"/>
        <v>31</v>
      </c>
      <c r="E8" s="141">
        <f t="shared" si="0"/>
        <v>27</v>
      </c>
      <c r="F8" s="141">
        <f t="shared" si="0"/>
        <v>24</v>
      </c>
    </row>
    <row r="9" spans="1:9" x14ac:dyDescent="0.3">
      <c r="A9" s="54" t="s">
        <v>3</v>
      </c>
      <c r="B9" s="141">
        <f>REVENUE!B6</f>
        <v>7000</v>
      </c>
      <c r="C9" s="141">
        <f>REVENUE!C6</f>
        <v>9000</v>
      </c>
      <c r="D9" s="141">
        <f>REVENUE!D6</f>
        <v>40000</v>
      </c>
      <c r="E9" s="141">
        <f>REVENUE!E6</f>
        <v>60000</v>
      </c>
      <c r="F9" s="141">
        <f>REVENUE!F6</f>
        <v>90000</v>
      </c>
    </row>
    <row r="10" spans="1:9" x14ac:dyDescent="0.3">
      <c r="A10" s="64" t="s">
        <v>55</v>
      </c>
      <c r="B10" s="142">
        <f>B8*B9</f>
        <v>245000</v>
      </c>
      <c r="C10" s="142">
        <f t="shared" ref="C10:F10" si="1">C8*C9</f>
        <v>306000</v>
      </c>
      <c r="D10" s="142">
        <f t="shared" si="1"/>
        <v>1240000</v>
      </c>
      <c r="E10" s="142">
        <f t="shared" si="1"/>
        <v>1620000</v>
      </c>
      <c r="F10" s="142">
        <f t="shared" si="1"/>
        <v>2160000</v>
      </c>
    </row>
    <row r="11" spans="1:9" x14ac:dyDescent="0.3">
      <c r="A11" s="54" t="s">
        <v>36</v>
      </c>
      <c r="B11" s="141">
        <f>PEOPLE!C59</f>
        <v>43500</v>
      </c>
      <c r="C11" s="141">
        <f>PEOPLE!D59</f>
        <v>80250</v>
      </c>
      <c r="D11" s="141">
        <f>PEOPLE!E59</f>
        <v>197000</v>
      </c>
      <c r="E11" s="141">
        <f>PEOPLE!F59</f>
        <v>219050</v>
      </c>
      <c r="F11" s="141">
        <f>PEOPLE!G59</f>
        <v>255800</v>
      </c>
      <c r="I11" s="42"/>
    </row>
    <row r="12" spans="1:9" x14ac:dyDescent="0.3">
      <c r="A12" s="45" t="s">
        <v>19</v>
      </c>
      <c r="B12" s="142">
        <f>SUM(B10:B11)</f>
        <v>288500</v>
      </c>
      <c r="C12" s="142">
        <f t="shared" ref="C12:F12" si="2">SUM(C10:C11)</f>
        <v>386250</v>
      </c>
      <c r="D12" s="142">
        <f t="shared" si="2"/>
        <v>1437000</v>
      </c>
      <c r="E12" s="142">
        <f t="shared" si="2"/>
        <v>1839050</v>
      </c>
      <c r="F12" s="142">
        <f t="shared" si="2"/>
        <v>2415800</v>
      </c>
    </row>
    <row r="14" spans="1:9" x14ac:dyDescent="0.3">
      <c r="A14" s="86" t="s">
        <v>6</v>
      </c>
    </row>
    <row r="15" spans="1:9" x14ac:dyDescent="0.3">
      <c r="A15" s="103" t="s">
        <v>16</v>
      </c>
      <c r="B15" s="100">
        <v>20</v>
      </c>
      <c r="C15" s="100">
        <v>23</v>
      </c>
      <c r="D15" s="100">
        <v>25</v>
      </c>
      <c r="E15" s="100">
        <v>25</v>
      </c>
      <c r="F15" s="100">
        <v>25</v>
      </c>
    </row>
    <row r="16" spans="1:9" x14ac:dyDescent="0.3">
      <c r="A16" s="103" t="s">
        <v>17</v>
      </c>
      <c r="B16" s="100">
        <v>3</v>
      </c>
      <c r="C16" s="100">
        <v>4</v>
      </c>
      <c r="D16" s="100">
        <v>5</v>
      </c>
      <c r="E16" s="100">
        <v>6</v>
      </c>
      <c r="F16" s="100">
        <v>6</v>
      </c>
    </row>
    <row r="17" spans="1:6" x14ac:dyDescent="0.3">
      <c r="A17" s="42" t="s">
        <v>18</v>
      </c>
      <c r="B17" s="33">
        <f>SUM(B15:B16)</f>
        <v>23</v>
      </c>
      <c r="C17" s="33">
        <f t="shared" ref="C17:F17" si="3">SUM(C15:C16)</f>
        <v>27</v>
      </c>
      <c r="D17" s="33">
        <f t="shared" si="3"/>
        <v>30</v>
      </c>
      <c r="E17" s="33">
        <f t="shared" si="3"/>
        <v>31</v>
      </c>
      <c r="F17" s="33">
        <f t="shared" si="3"/>
        <v>31</v>
      </c>
    </row>
    <row r="18" spans="1:6" x14ac:dyDescent="0.3">
      <c r="A18" s="54" t="s">
        <v>3</v>
      </c>
      <c r="B18" s="33">
        <f>REVENUE!B11</f>
        <v>5000</v>
      </c>
      <c r="C18" s="33">
        <f>REVENUE!C11</f>
        <v>10000</v>
      </c>
      <c r="D18" s="33">
        <f>REVENUE!D11</f>
        <v>24000</v>
      </c>
      <c r="E18" s="33">
        <f>REVENUE!E11</f>
        <v>60000</v>
      </c>
      <c r="F18" s="33">
        <f>REVENUE!F11</f>
        <v>130000</v>
      </c>
    </row>
    <row r="19" spans="1:6" x14ac:dyDescent="0.3">
      <c r="A19" s="64" t="s">
        <v>56</v>
      </c>
      <c r="B19" s="35">
        <f>B17*B18</f>
        <v>115000</v>
      </c>
      <c r="C19" s="35">
        <f t="shared" ref="C19:F19" si="4">C17*C18</f>
        <v>270000</v>
      </c>
      <c r="D19" s="35">
        <f t="shared" si="4"/>
        <v>720000</v>
      </c>
      <c r="E19" s="35">
        <f t="shared" si="4"/>
        <v>1860000</v>
      </c>
      <c r="F19" s="35">
        <f t="shared" si="4"/>
        <v>4030000</v>
      </c>
    </row>
    <row r="20" spans="1:6" x14ac:dyDescent="0.3">
      <c r="A20" s="54" t="s">
        <v>34</v>
      </c>
      <c r="B20" s="33">
        <f>PEOPLE!C75</f>
        <v>150000</v>
      </c>
      <c r="C20" s="33">
        <f>PEOPLE!D75</f>
        <v>223500</v>
      </c>
      <c r="D20" s="33">
        <f>PEOPLE!E75</f>
        <v>241000</v>
      </c>
      <c r="E20" s="33">
        <f>PEOPLE!F75</f>
        <v>285050</v>
      </c>
      <c r="F20" s="33">
        <f>PEOPLE!G75</f>
        <v>332800</v>
      </c>
    </row>
    <row r="21" spans="1:6" x14ac:dyDescent="0.3">
      <c r="A21" s="45" t="s">
        <v>20</v>
      </c>
      <c r="B21" s="35">
        <f>SUM(B19:B20)</f>
        <v>265000</v>
      </c>
      <c r="C21" s="35">
        <f t="shared" ref="C21:F21" si="5">SUM(C19:C20)</f>
        <v>493500</v>
      </c>
      <c r="D21" s="35">
        <f t="shared" si="5"/>
        <v>961000</v>
      </c>
      <c r="E21" s="35">
        <f t="shared" si="5"/>
        <v>2145050</v>
      </c>
      <c r="F21" s="35">
        <f t="shared" si="5"/>
        <v>4362800</v>
      </c>
    </row>
    <row r="23" spans="1:6" x14ac:dyDescent="0.3">
      <c r="A23" s="86" t="s">
        <v>9</v>
      </c>
    </row>
    <row r="24" spans="1:6" x14ac:dyDescent="0.3">
      <c r="A24" s="103" t="s">
        <v>16</v>
      </c>
      <c r="B24" s="100">
        <v>35</v>
      </c>
      <c r="C24" s="100">
        <v>37</v>
      </c>
      <c r="D24" s="100">
        <v>38</v>
      </c>
      <c r="E24" s="100">
        <v>38</v>
      </c>
      <c r="F24" s="100">
        <v>38</v>
      </c>
    </row>
    <row r="25" spans="1:6" x14ac:dyDescent="0.3">
      <c r="A25" s="103" t="s">
        <v>17</v>
      </c>
      <c r="B25" s="100">
        <v>2</v>
      </c>
      <c r="C25" s="100">
        <v>3</v>
      </c>
      <c r="D25" s="100">
        <v>3</v>
      </c>
      <c r="E25" s="100">
        <v>3</v>
      </c>
      <c r="F25" s="100">
        <v>3</v>
      </c>
    </row>
    <row r="26" spans="1:6" x14ac:dyDescent="0.3">
      <c r="A26" s="42" t="s">
        <v>18</v>
      </c>
      <c r="B26" s="33">
        <f>SUM(B24:B25)</f>
        <v>37</v>
      </c>
      <c r="C26" s="33">
        <f t="shared" ref="C26:F26" si="6">SUM(C24:C25)</f>
        <v>40</v>
      </c>
      <c r="D26" s="33">
        <f t="shared" si="6"/>
        <v>41</v>
      </c>
      <c r="E26" s="33">
        <f t="shared" si="6"/>
        <v>41</v>
      </c>
      <c r="F26" s="33">
        <f t="shared" si="6"/>
        <v>41</v>
      </c>
    </row>
    <row r="27" spans="1:6" x14ac:dyDescent="0.3">
      <c r="A27" s="54" t="s">
        <v>3</v>
      </c>
      <c r="B27" s="33">
        <f>REVENUE!B16</f>
        <v>2000</v>
      </c>
      <c r="C27" s="33">
        <f>REVENUE!C16</f>
        <v>2400</v>
      </c>
      <c r="D27" s="33">
        <f>REVENUE!D16</f>
        <v>3000</v>
      </c>
      <c r="E27" s="33">
        <f>REVENUE!E16</f>
        <v>20000</v>
      </c>
      <c r="F27" s="33">
        <f>REVENUE!F16</f>
        <v>40000</v>
      </c>
    </row>
    <row r="28" spans="1:6" x14ac:dyDescent="0.3">
      <c r="A28" s="64" t="s">
        <v>57</v>
      </c>
      <c r="B28" s="35">
        <f>B26*B27</f>
        <v>74000</v>
      </c>
      <c r="C28" s="35">
        <f t="shared" ref="C28:F28" si="7">C26*C27</f>
        <v>96000</v>
      </c>
      <c r="D28" s="35">
        <f t="shared" si="7"/>
        <v>123000</v>
      </c>
      <c r="E28" s="35">
        <f t="shared" si="7"/>
        <v>820000</v>
      </c>
      <c r="F28" s="35">
        <f t="shared" si="7"/>
        <v>1640000</v>
      </c>
    </row>
    <row r="29" spans="1:6" x14ac:dyDescent="0.3">
      <c r="A29" s="54" t="s">
        <v>35</v>
      </c>
      <c r="B29" s="33">
        <f>PEOPLE!C91</f>
        <v>87000</v>
      </c>
      <c r="C29" s="33">
        <f>PEOPLE!D91</f>
        <v>177050</v>
      </c>
      <c r="D29" s="33">
        <f>PEOPLE!E91</f>
        <v>203600</v>
      </c>
      <c r="E29" s="33">
        <f>PEOPLE!F91</f>
        <v>258650</v>
      </c>
      <c r="F29" s="33">
        <f>PEOPLE!G91</f>
        <v>311900</v>
      </c>
    </row>
    <row r="30" spans="1:6" x14ac:dyDescent="0.3">
      <c r="A30" s="45" t="s">
        <v>21</v>
      </c>
      <c r="B30" s="35">
        <f>SUM(B28:B29)</f>
        <v>161000</v>
      </c>
      <c r="C30" s="35">
        <f t="shared" ref="C30:F30" si="8">SUM(C28:C29)</f>
        <v>273050</v>
      </c>
      <c r="D30" s="35">
        <f t="shared" si="8"/>
        <v>326600</v>
      </c>
      <c r="E30" s="35">
        <f t="shared" si="8"/>
        <v>1078650</v>
      </c>
      <c r="F30" s="35">
        <f t="shared" si="8"/>
        <v>1951900</v>
      </c>
    </row>
    <row r="31" spans="1:6" x14ac:dyDescent="0.3">
      <c r="A31" s="42"/>
      <c r="B31" s="42"/>
      <c r="C31" s="42"/>
      <c r="D31" s="42"/>
      <c r="E31" s="42"/>
      <c r="F31" s="42"/>
    </row>
    <row r="32" spans="1:6" x14ac:dyDescent="0.3">
      <c r="A32" s="45" t="s">
        <v>8</v>
      </c>
      <c r="B32" s="42"/>
      <c r="C32" s="42"/>
      <c r="D32" s="42"/>
      <c r="E32" s="42"/>
      <c r="F32" s="42"/>
    </row>
    <row r="33" spans="1:6" x14ac:dyDescent="0.3">
      <c r="A33" s="54" t="s">
        <v>22</v>
      </c>
      <c r="B33" s="33">
        <f>PEOPLE!C107</f>
        <v>150800</v>
      </c>
      <c r="C33" s="33">
        <f>PEOPLE!D107</f>
        <v>161300</v>
      </c>
      <c r="D33" s="33">
        <f>PEOPLE!E107</f>
        <v>180200</v>
      </c>
      <c r="E33" s="33">
        <f>PEOPLE!F107</f>
        <v>201200</v>
      </c>
      <c r="F33" s="33">
        <f>PEOPLE!G107</f>
        <v>234800</v>
      </c>
    </row>
    <row r="34" spans="1:6" x14ac:dyDescent="0.3">
      <c r="A34" s="42"/>
      <c r="B34" s="33"/>
      <c r="C34" s="33"/>
      <c r="D34" s="33"/>
      <c r="E34" s="33"/>
      <c r="F34" s="33"/>
    </row>
    <row r="35" spans="1:6" x14ac:dyDescent="0.3">
      <c r="A35" s="45" t="s">
        <v>25</v>
      </c>
      <c r="B35" s="33"/>
      <c r="C35" s="33"/>
      <c r="D35" s="33"/>
      <c r="E35" s="33"/>
      <c r="F35" s="33"/>
    </row>
    <row r="36" spans="1:6" x14ac:dyDescent="0.3">
      <c r="A36" s="54" t="s">
        <v>23</v>
      </c>
      <c r="B36" s="33">
        <f>PEOPLE!C59+PEOPLE!C75+PEOPLE!C91</f>
        <v>280500</v>
      </c>
      <c r="C36" s="33">
        <f>PEOPLE!D59+PEOPLE!D75+PEOPLE!D91</f>
        <v>480800</v>
      </c>
      <c r="D36" s="33">
        <f>PEOPLE!E59+PEOPLE!E75+PEOPLE!E91</f>
        <v>641600</v>
      </c>
      <c r="E36" s="33">
        <f>PEOPLE!F59+PEOPLE!F75+PEOPLE!F91</f>
        <v>762750</v>
      </c>
      <c r="F36" s="33">
        <f>PEOPLE!G59+PEOPLE!G75+PEOPLE!G91</f>
        <v>900500</v>
      </c>
    </row>
    <row r="37" spans="1:6" x14ac:dyDescent="0.3">
      <c r="A37" s="54" t="s">
        <v>24</v>
      </c>
      <c r="B37" s="33">
        <f>CAPEX!C32+CAPEX!C42</f>
        <v>37142.857142857145</v>
      </c>
      <c r="C37" s="33">
        <f>CAPEX!D32+CAPEX!D42</f>
        <v>94285.71428571429</v>
      </c>
      <c r="D37" s="33">
        <f>CAPEX!E32+CAPEX!E42</f>
        <v>144285.71428571429</v>
      </c>
      <c r="E37" s="33">
        <f>CAPEX!F32+CAPEX!F42</f>
        <v>201428.57142857142</v>
      </c>
      <c r="F37" s="33">
        <f>CAPEX!G32+CAPEX!G42</f>
        <v>258571.42857142852</v>
      </c>
    </row>
    <row r="38" spans="1:6" x14ac:dyDescent="0.3">
      <c r="A38" s="103" t="s">
        <v>26</v>
      </c>
      <c r="B38" s="100">
        <v>1000</v>
      </c>
      <c r="C38" s="100">
        <v>2000</v>
      </c>
      <c r="D38" s="100">
        <v>5000</v>
      </c>
      <c r="E38" s="100">
        <v>10000</v>
      </c>
      <c r="F38" s="100">
        <v>20000</v>
      </c>
    </row>
    <row r="39" spans="1:6" x14ac:dyDescent="0.3">
      <c r="A39" s="103" t="s">
        <v>27</v>
      </c>
      <c r="B39" s="100">
        <v>1000</v>
      </c>
      <c r="C39" s="100">
        <v>2000</v>
      </c>
      <c r="D39" s="100">
        <v>5000</v>
      </c>
      <c r="E39" s="100">
        <v>10000</v>
      </c>
      <c r="F39" s="100">
        <v>20000</v>
      </c>
    </row>
    <row r="40" spans="1:6" x14ac:dyDescent="0.3">
      <c r="A40" s="103" t="s">
        <v>28</v>
      </c>
      <c r="B40" s="100">
        <v>1000</v>
      </c>
      <c r="C40" s="100">
        <v>2000</v>
      </c>
      <c r="D40" s="100">
        <v>5000</v>
      </c>
      <c r="E40" s="100">
        <v>10000</v>
      </c>
      <c r="F40" s="100">
        <v>20000</v>
      </c>
    </row>
    <row r="41" spans="1:6" x14ac:dyDescent="0.3">
      <c r="A41" s="103" t="s">
        <v>29</v>
      </c>
      <c r="B41" s="100">
        <v>1000</v>
      </c>
      <c r="C41" s="100">
        <v>2000</v>
      </c>
      <c r="D41" s="100">
        <v>5000</v>
      </c>
      <c r="E41" s="100">
        <v>10000</v>
      </c>
      <c r="F41" s="100">
        <v>20000</v>
      </c>
    </row>
    <row r="42" spans="1:6" x14ac:dyDescent="0.3">
      <c r="A42" s="143" t="s">
        <v>58</v>
      </c>
      <c r="B42" s="33">
        <f>SUM(B36:B41)</f>
        <v>321642.85714285716</v>
      </c>
      <c r="C42" s="33">
        <f t="shared" ref="C42:F42" si="9">SUM(C36:C41)</f>
        <v>583085.71428571432</v>
      </c>
      <c r="D42" s="33">
        <f t="shared" si="9"/>
        <v>805885.71428571432</v>
      </c>
      <c r="E42" s="33">
        <f t="shared" si="9"/>
        <v>1004178.5714285714</v>
      </c>
      <c r="F42" s="33">
        <f t="shared" si="9"/>
        <v>1239071.4285714286</v>
      </c>
    </row>
    <row r="43" spans="1:6" x14ac:dyDescent="0.3">
      <c r="A43" s="42"/>
      <c r="B43" s="33"/>
      <c r="C43" s="33"/>
      <c r="D43" s="33"/>
      <c r="E43" s="33"/>
      <c r="F43" s="33"/>
    </row>
    <row r="44" spans="1:6" x14ac:dyDescent="0.3">
      <c r="A44" s="42" t="s">
        <v>30</v>
      </c>
      <c r="B44" s="33"/>
      <c r="C44" s="33"/>
      <c r="D44" s="33"/>
      <c r="E44" s="33"/>
      <c r="F44" s="33"/>
    </row>
    <row r="45" spans="1:6" x14ac:dyDescent="0.3">
      <c r="A45" s="76" t="s">
        <v>32</v>
      </c>
      <c r="B45" s="33">
        <f>SUM(B36:B41)</f>
        <v>321642.85714285716</v>
      </c>
      <c r="C45" s="33">
        <f t="shared" ref="C45:F45" si="10">SUM(C36:C41)</f>
        <v>583085.71428571432</v>
      </c>
      <c r="D45" s="33">
        <f t="shared" si="10"/>
        <v>805885.71428571432</v>
      </c>
      <c r="E45" s="33">
        <f t="shared" si="10"/>
        <v>1004178.5714285714</v>
      </c>
      <c r="F45" s="33">
        <f t="shared" si="10"/>
        <v>1239071.4285714286</v>
      </c>
    </row>
    <row r="46" spans="1:6" x14ac:dyDescent="0.3">
      <c r="A46" s="76" t="s">
        <v>33</v>
      </c>
      <c r="B46" s="33">
        <f>SUM(B12,B21,B30,B33)</f>
        <v>865300</v>
      </c>
      <c r="C46" s="33">
        <f t="shared" ref="C46:F46" si="11">SUM(C12,C21,C30,C33)</f>
        <v>1314100</v>
      </c>
      <c r="D46" s="33">
        <f t="shared" si="11"/>
        <v>2904800</v>
      </c>
      <c r="E46" s="33">
        <f t="shared" si="11"/>
        <v>5263950</v>
      </c>
      <c r="F46" s="33">
        <f t="shared" si="11"/>
        <v>8965300</v>
      </c>
    </row>
    <row r="47" spans="1:6" x14ac:dyDescent="0.3">
      <c r="A47" s="76" t="s">
        <v>60</v>
      </c>
      <c r="B47" s="33">
        <f>SUM(B45:B46)</f>
        <v>1186942.8571428573</v>
      </c>
      <c r="C47" s="33">
        <f t="shared" ref="C47:F47" si="12">SUM(C45:C46)</f>
        <v>1897185.7142857143</v>
      </c>
      <c r="D47" s="33">
        <f t="shared" si="12"/>
        <v>3710685.7142857146</v>
      </c>
      <c r="E47" s="33">
        <f t="shared" si="12"/>
        <v>6268128.5714285709</v>
      </c>
      <c r="F47" s="33">
        <f t="shared" si="12"/>
        <v>10204371.428571429</v>
      </c>
    </row>
    <row r="48" spans="1:6" x14ac:dyDescent="0.3">
      <c r="A48" s="144" t="s">
        <v>59</v>
      </c>
      <c r="B48" s="73">
        <f>(B45+B46)/REVENUE!B25</f>
        <v>0.39697085523172482</v>
      </c>
      <c r="C48" s="73">
        <f>(C45+C46)/REVENUE!C25</f>
        <v>0.41198386846595314</v>
      </c>
      <c r="D48" s="73">
        <f>(D45+D46)/REVENUE!D25</f>
        <v>0.32071613779478952</v>
      </c>
      <c r="E48" s="73">
        <f>(E45+E46)/REVENUE!E25</f>
        <v>0.24701984517945108</v>
      </c>
      <c r="F48" s="73">
        <f>(F45+F46)/REVENUE!F25</f>
        <v>0.21437755102040817</v>
      </c>
    </row>
    <row r="49" spans="1:6" x14ac:dyDescent="0.3">
      <c r="A49" s="42"/>
      <c r="B49" s="42"/>
      <c r="C49" s="42"/>
      <c r="D49" s="42"/>
      <c r="E49" s="42"/>
      <c r="F49" s="42"/>
    </row>
    <row r="50" spans="1:6" x14ac:dyDescent="0.3">
      <c r="A50" s="61"/>
      <c r="B50" s="61"/>
      <c r="C50" s="61"/>
      <c r="D50" s="61"/>
      <c r="E50" s="61"/>
      <c r="F50" s="61"/>
    </row>
    <row r="51" spans="1:6" x14ac:dyDescent="0.3">
      <c r="A51" s="61"/>
      <c r="B51" s="61"/>
      <c r="C51" s="26" t="s">
        <v>235</v>
      </c>
      <c r="D51" s="26"/>
      <c r="E51" s="26"/>
      <c r="F51" s="26"/>
    </row>
    <row r="52" spans="1:6" x14ac:dyDescent="0.3">
      <c r="A52" s="61"/>
      <c r="B52" s="26"/>
      <c r="C52" s="26"/>
      <c r="D52" s="26"/>
      <c r="E52" s="26"/>
      <c r="F52" s="26"/>
    </row>
    <row r="53" spans="1:6" x14ac:dyDescent="0.3">
      <c r="A53" s="61"/>
      <c r="B53" s="145">
        <f>REVENUE!B53*$B$48</f>
        <v>98872.340000000011</v>
      </c>
      <c r="C53" s="145">
        <f>REVENUE!C53*$C$48</f>
        <v>158035.57</v>
      </c>
      <c r="D53" s="145">
        <f>REVENUE!D53*$D$48</f>
        <v>309100.12000000005</v>
      </c>
      <c r="E53" s="145">
        <f>REVENUE!E53*$E$48</f>
        <v>522135.11</v>
      </c>
      <c r="F53" s="145">
        <f>REVENUE!F53*$F$48</f>
        <v>850024.14</v>
      </c>
    </row>
    <row r="54" spans="1:6" x14ac:dyDescent="0.3">
      <c r="A54" s="61"/>
      <c r="B54" s="145">
        <f>REVENUE!B54*$B$48</f>
        <v>98872.340000000011</v>
      </c>
      <c r="C54" s="145">
        <f>REVENUE!C54*$C$48</f>
        <v>158035.57</v>
      </c>
      <c r="D54" s="145">
        <f>REVENUE!D54*$D$48</f>
        <v>309100.12000000005</v>
      </c>
      <c r="E54" s="145">
        <f>REVENUE!E54*$E$48</f>
        <v>522135.11</v>
      </c>
      <c r="F54" s="145">
        <f>REVENUE!F54*$F$48</f>
        <v>850024.14</v>
      </c>
    </row>
    <row r="55" spans="1:6" x14ac:dyDescent="0.3">
      <c r="A55" s="61"/>
      <c r="B55" s="145">
        <f>REVENUE!B55*$B$48</f>
        <v>98872.340000000011</v>
      </c>
      <c r="C55" s="145">
        <f>REVENUE!C55*$C$48</f>
        <v>158035.57</v>
      </c>
      <c r="D55" s="145">
        <f>REVENUE!D55*$D$48</f>
        <v>309100.12000000005</v>
      </c>
      <c r="E55" s="145">
        <f>REVENUE!E55*$E$48</f>
        <v>522135.11</v>
      </c>
      <c r="F55" s="145">
        <f>REVENUE!F55*$F$48</f>
        <v>850024.14</v>
      </c>
    </row>
    <row r="56" spans="1:6" x14ac:dyDescent="0.3">
      <c r="A56" s="135"/>
      <c r="B56" s="145">
        <f>REVENUE!B56*$B$48</f>
        <v>296617.02</v>
      </c>
      <c r="C56" s="145">
        <f>REVENUE!C56*$C$48</f>
        <v>474106.70999999996</v>
      </c>
      <c r="D56" s="145">
        <f>REVENUE!D56*$D$48</f>
        <v>927300.3600000001</v>
      </c>
      <c r="E56" s="145">
        <f>REVENUE!E56*$E$48</f>
        <v>1566405.3299999998</v>
      </c>
      <c r="F56" s="145">
        <f>REVENUE!F56*$F$48</f>
        <v>2550072.42</v>
      </c>
    </row>
    <row r="57" spans="1:6" x14ac:dyDescent="0.3">
      <c r="A57" s="61"/>
      <c r="B57" s="145">
        <f>REVENUE!B57*$B$48</f>
        <v>98872.340000000011</v>
      </c>
      <c r="C57" s="145">
        <f>REVENUE!C57*$C$48</f>
        <v>158035.57</v>
      </c>
      <c r="D57" s="145">
        <f>REVENUE!D57*$D$48</f>
        <v>309100.12000000005</v>
      </c>
      <c r="E57" s="145">
        <f>REVENUE!E57*$E$48</f>
        <v>522135.11</v>
      </c>
      <c r="F57" s="145">
        <f>REVENUE!F57*$F$48</f>
        <v>850024.14</v>
      </c>
    </row>
    <row r="58" spans="1:6" x14ac:dyDescent="0.3">
      <c r="A58" s="61"/>
      <c r="B58" s="145">
        <f>REVENUE!B58*$B$48</f>
        <v>98872.340000000011</v>
      </c>
      <c r="C58" s="145">
        <f>REVENUE!C58*$C$48</f>
        <v>158035.57</v>
      </c>
      <c r="D58" s="145">
        <f>REVENUE!D58*$D$48</f>
        <v>309100.12000000005</v>
      </c>
      <c r="E58" s="145">
        <f>REVENUE!E58*$E$48</f>
        <v>522135.11</v>
      </c>
      <c r="F58" s="145">
        <f>REVENUE!F58*$F$48</f>
        <v>850024.14</v>
      </c>
    </row>
    <row r="59" spans="1:6" x14ac:dyDescent="0.3">
      <c r="A59" s="61"/>
      <c r="B59" s="145">
        <f>REVENUE!B59*$B$48</f>
        <v>98872.340000000011</v>
      </c>
      <c r="C59" s="145">
        <f>REVENUE!C59*$C$48</f>
        <v>158035.57</v>
      </c>
      <c r="D59" s="145">
        <f>REVENUE!D59*$D$48</f>
        <v>309100.12000000005</v>
      </c>
      <c r="E59" s="145">
        <f>REVENUE!E59*$E$48</f>
        <v>522135.11</v>
      </c>
      <c r="F59" s="145">
        <f>REVENUE!F59*$F$48</f>
        <v>850024.14</v>
      </c>
    </row>
    <row r="60" spans="1:6" x14ac:dyDescent="0.3">
      <c r="A60" s="135"/>
      <c r="B60" s="145">
        <f>REVENUE!B60*$B$48</f>
        <v>296617.02</v>
      </c>
      <c r="C60" s="145">
        <f>REVENUE!C60*$C$48</f>
        <v>474106.70999999996</v>
      </c>
      <c r="D60" s="145">
        <f>REVENUE!D60*$D$48</f>
        <v>927300.3600000001</v>
      </c>
      <c r="E60" s="145">
        <f>REVENUE!E60*$E$48</f>
        <v>1566405.3299999998</v>
      </c>
      <c r="F60" s="145">
        <f>REVENUE!F60*$F$48</f>
        <v>2550072.42</v>
      </c>
    </row>
    <row r="61" spans="1:6" x14ac:dyDescent="0.3">
      <c r="A61" s="61"/>
      <c r="B61" s="145">
        <f>REVENUE!B61*$B$48</f>
        <v>98872.340000000011</v>
      </c>
      <c r="C61" s="145">
        <f>REVENUE!C61*$C$48</f>
        <v>158035.57</v>
      </c>
      <c r="D61" s="145">
        <f>REVENUE!D61*$D$48</f>
        <v>309100.12000000005</v>
      </c>
      <c r="E61" s="145">
        <f>REVENUE!E61*$E$48</f>
        <v>522135.11</v>
      </c>
      <c r="F61" s="145">
        <f>REVENUE!F61*$F$48</f>
        <v>850024.14</v>
      </c>
    </row>
    <row r="62" spans="1:6" x14ac:dyDescent="0.3">
      <c r="A62" s="61"/>
      <c r="B62" s="145">
        <f>REVENUE!B62*$B$48</f>
        <v>98872.340000000011</v>
      </c>
      <c r="C62" s="145">
        <f>REVENUE!C62*$C$48</f>
        <v>158035.57</v>
      </c>
      <c r="D62" s="145">
        <f>REVENUE!D62*$D$48</f>
        <v>309100.12000000005</v>
      </c>
      <c r="E62" s="145">
        <f>REVENUE!E62*$E$48</f>
        <v>522135.11</v>
      </c>
      <c r="F62" s="145">
        <f>REVENUE!F62*$F$48</f>
        <v>850024.14</v>
      </c>
    </row>
    <row r="63" spans="1:6" x14ac:dyDescent="0.3">
      <c r="A63" s="61"/>
      <c r="B63" s="145">
        <f>REVENUE!B63*$B$48</f>
        <v>98991.034285714297</v>
      </c>
      <c r="C63" s="145">
        <f>REVENUE!C63*$C$48</f>
        <v>158225.28857142857</v>
      </c>
      <c r="D63" s="145">
        <f>REVENUE!D63*$D$48</f>
        <v>309471.18857142859</v>
      </c>
      <c r="E63" s="145">
        <f>REVENUE!E63*$E$48</f>
        <v>522761.92285714281</v>
      </c>
      <c r="F63" s="145">
        <f>REVENUE!F63*$F$48</f>
        <v>851044.57714285713</v>
      </c>
    </row>
    <row r="64" spans="1:6" x14ac:dyDescent="0.3">
      <c r="A64" s="135"/>
      <c r="B64" s="145">
        <f>REVENUE!B64*$B$48</f>
        <v>296735.71428571432</v>
      </c>
      <c r="C64" s="145">
        <f>REVENUE!C64*$C$48</f>
        <v>474296.42857142858</v>
      </c>
      <c r="D64" s="145">
        <f>REVENUE!D64*$D$48</f>
        <v>927671.42857142875</v>
      </c>
      <c r="E64" s="145">
        <f>REVENUE!E64*$E$48</f>
        <v>1567032.1428571427</v>
      </c>
      <c r="F64" s="145">
        <f>REVENUE!F64*$F$48</f>
        <v>2551092.8571428573</v>
      </c>
    </row>
    <row r="65" spans="1:6" x14ac:dyDescent="0.3">
      <c r="A65" s="61"/>
      <c r="B65" s="145">
        <f>REVENUE!B65*$B$48</f>
        <v>98991.034285714297</v>
      </c>
      <c r="C65" s="145">
        <f>REVENUE!C65*$C$48</f>
        <v>158225.28857142857</v>
      </c>
      <c r="D65" s="145">
        <f>REVENUE!D65*$D$48</f>
        <v>309471.18857142859</v>
      </c>
      <c r="E65" s="145">
        <f>REVENUE!E65*$E$48</f>
        <v>522761.92285714281</v>
      </c>
      <c r="F65" s="145">
        <f>REVENUE!F65*$F$48</f>
        <v>851044.57714285713</v>
      </c>
    </row>
    <row r="66" spans="1:6" x14ac:dyDescent="0.3">
      <c r="A66" s="61"/>
      <c r="B66" s="145">
        <f>REVENUE!B66*$B$48</f>
        <v>98991.034285714297</v>
      </c>
      <c r="C66" s="145">
        <f>REVENUE!C66*$C$48</f>
        <v>158225.28857142857</v>
      </c>
      <c r="D66" s="145">
        <f>REVENUE!D66*$D$48</f>
        <v>309471.18857142859</v>
      </c>
      <c r="E66" s="145">
        <f>REVENUE!E66*$E$48</f>
        <v>522761.92285714281</v>
      </c>
      <c r="F66" s="145">
        <f>REVENUE!F66*$F$48</f>
        <v>851044.57714285713</v>
      </c>
    </row>
    <row r="67" spans="1:6" x14ac:dyDescent="0.3">
      <c r="A67" s="61"/>
      <c r="B67" s="145">
        <f>REVENUE!B67*$B$48</f>
        <v>98991.034285714297</v>
      </c>
      <c r="C67" s="145">
        <f>REVENUE!C67*$C$48</f>
        <v>158225.28857142857</v>
      </c>
      <c r="D67" s="145">
        <f>REVENUE!D67*$D$48</f>
        <v>309471.18857142859</v>
      </c>
      <c r="E67" s="145">
        <f>REVENUE!E67*$E$48</f>
        <v>522761.92285714281</v>
      </c>
      <c r="F67" s="145">
        <f>REVENUE!F67*$F$48</f>
        <v>851044.57714285713</v>
      </c>
    </row>
    <row r="68" spans="1:6" x14ac:dyDescent="0.3">
      <c r="A68" s="135"/>
      <c r="B68" s="145">
        <f>REVENUE!B68*$B$48</f>
        <v>296973.1028571428</v>
      </c>
      <c r="C68" s="145">
        <f>REVENUE!C68*$C$48</f>
        <v>474675.8657142857</v>
      </c>
      <c r="D68" s="145">
        <f>REVENUE!D68*$D$48</f>
        <v>928413.56571428571</v>
      </c>
      <c r="E68" s="145">
        <f>REVENUE!E68*$E$48</f>
        <v>1568285.7685714283</v>
      </c>
      <c r="F68" s="145">
        <f>REVENUE!F68*$F$48</f>
        <v>2553133.731428571</v>
      </c>
    </row>
    <row r="69" spans="1:6" x14ac:dyDescent="0.3">
      <c r="A69" s="135"/>
      <c r="B69" s="145">
        <f>REVENUE!B69*$B$48</f>
        <v>1186942.8571428573</v>
      </c>
      <c r="C69" s="145">
        <f>REVENUE!C69*$C$48</f>
        <v>1897185.7142857143</v>
      </c>
      <c r="D69" s="145">
        <f>REVENUE!D69*$D$48</f>
        <v>3710685.714285715</v>
      </c>
      <c r="E69" s="145">
        <f>REVENUE!E69*$E$48</f>
        <v>6268128.5714285709</v>
      </c>
      <c r="F69" s="145">
        <f>REVENUE!F69*$F$48</f>
        <v>10204371.428571429</v>
      </c>
    </row>
    <row r="70" spans="1:6" x14ac:dyDescent="0.3">
      <c r="A70" s="61"/>
      <c r="B70" s="61"/>
      <c r="C70" s="61"/>
      <c r="D70" s="61"/>
      <c r="E70" s="61"/>
      <c r="F70" s="61"/>
    </row>
    <row r="71" spans="1:6" x14ac:dyDescent="0.3">
      <c r="A71" s="91"/>
      <c r="B71" s="91"/>
      <c r="C71" s="91"/>
      <c r="D71" s="91"/>
      <c r="E71" s="91"/>
      <c r="F71" s="91"/>
    </row>
    <row r="72" spans="1:6" x14ac:dyDescent="0.3">
      <c r="A72" s="91"/>
      <c r="B72" s="91"/>
      <c r="C72" s="91"/>
      <c r="D72" s="91"/>
      <c r="E72" s="91"/>
      <c r="F72" s="91"/>
    </row>
  </sheetData>
  <sheetProtection algorithmName="SHA-512" hashValue="0mkN1CaXdNHGZCVsVwJ7bZpxBPngVuo+b5+w39oyvvbDPjsKKTPjsXXWlwY6k3xeKJOy3wV3Qw3n10MbdmW18w==" saltValue="bpSna/MxnWxYPymiUzItiA==" spinCount="100000"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103"/>
  <sheetViews>
    <sheetView zoomScale="70" zoomScaleNormal="70" workbookViewId="0">
      <selection activeCell="J15" sqref="J15"/>
    </sheetView>
  </sheetViews>
  <sheetFormatPr baseColWidth="10" defaultRowHeight="13.5" x14ac:dyDescent="0.3"/>
  <cols>
    <col min="1" max="1" width="37.08984375" style="87" customWidth="1"/>
    <col min="2" max="2" width="8.6328125" style="87" customWidth="1"/>
    <col min="3" max="3" width="16.6328125" style="87" customWidth="1"/>
    <col min="4" max="4" width="17" style="87" customWidth="1"/>
    <col min="5" max="5" width="16.453125" style="87" customWidth="1"/>
    <col min="6" max="6" width="19.08984375" style="87" customWidth="1"/>
    <col min="7" max="7" width="20.453125" style="87" customWidth="1"/>
    <col min="8" max="16384" width="10.90625" style="87"/>
  </cols>
  <sheetData>
    <row r="2" spans="1:9" x14ac:dyDescent="0.3">
      <c r="A2" s="86" t="s">
        <v>37</v>
      </c>
      <c r="C2" s="88"/>
      <c r="D2" s="88"/>
      <c r="E2" s="88" t="s">
        <v>1</v>
      </c>
      <c r="F2" s="88"/>
      <c r="G2" s="88"/>
    </row>
    <row r="3" spans="1:9" x14ac:dyDescent="0.3">
      <c r="C3" s="88">
        <v>1</v>
      </c>
      <c r="D3" s="88">
        <v>2</v>
      </c>
      <c r="E3" s="88">
        <v>3</v>
      </c>
      <c r="F3" s="88">
        <v>4</v>
      </c>
      <c r="G3" s="88">
        <v>5</v>
      </c>
    </row>
    <row r="4" spans="1:9" x14ac:dyDescent="0.3">
      <c r="A4" s="45" t="s">
        <v>43</v>
      </c>
      <c r="B4" s="42"/>
      <c r="C4" s="42"/>
      <c r="D4" s="42"/>
      <c r="E4" s="42"/>
      <c r="F4" s="42"/>
      <c r="G4" s="42"/>
    </row>
    <row r="5" spans="1:9" x14ac:dyDescent="0.3">
      <c r="A5" s="54" t="s">
        <v>40</v>
      </c>
      <c r="B5" s="42"/>
      <c r="C5" s="33">
        <f>PEOPLE!C15</f>
        <v>102000</v>
      </c>
      <c r="D5" s="33">
        <f>PEOPLE!D15</f>
        <v>288660</v>
      </c>
      <c r="E5" s="33">
        <f>PEOPLE!E15</f>
        <v>288660</v>
      </c>
      <c r="F5" s="33">
        <f>PEOPLE!F15</f>
        <v>288660</v>
      </c>
      <c r="G5" s="33">
        <f>PEOPLE!G15</f>
        <v>288660</v>
      </c>
      <c r="I5" s="42"/>
    </row>
    <row r="6" spans="1:9" x14ac:dyDescent="0.3">
      <c r="A6" s="54" t="s">
        <v>24</v>
      </c>
      <c r="B6" s="42"/>
      <c r="C6" s="33">
        <f>CAPEX!C22</f>
        <v>5000</v>
      </c>
      <c r="D6" s="33">
        <f>CAPEX!D22</f>
        <v>30000</v>
      </c>
      <c r="E6" s="33">
        <f>CAPEX!E22</f>
        <v>80000</v>
      </c>
      <c r="F6" s="33">
        <f>CAPEX!F22</f>
        <v>142500</v>
      </c>
      <c r="G6" s="33">
        <f>CAPEX!G22</f>
        <v>225000</v>
      </c>
    </row>
    <row r="7" spans="1:9" x14ac:dyDescent="0.3">
      <c r="A7" s="103" t="s">
        <v>38</v>
      </c>
      <c r="C7" s="100"/>
      <c r="D7" s="100"/>
      <c r="E7" s="100"/>
      <c r="F7" s="100"/>
      <c r="G7" s="100"/>
    </row>
    <row r="8" spans="1:9" x14ac:dyDescent="0.3">
      <c r="A8" s="103" t="s">
        <v>39</v>
      </c>
      <c r="C8" s="100"/>
      <c r="D8" s="100"/>
      <c r="E8" s="100"/>
      <c r="F8" s="100"/>
      <c r="G8" s="100"/>
    </row>
    <row r="9" spans="1:9" x14ac:dyDescent="0.3">
      <c r="A9" s="103" t="s">
        <v>41</v>
      </c>
      <c r="B9" s="121">
        <v>0.05</v>
      </c>
      <c r="C9" s="33">
        <f>REVENUE!B25*$B$9</f>
        <v>149500</v>
      </c>
      <c r="D9" s="33">
        <f>REVENUE!C25*$B$9</f>
        <v>230250</v>
      </c>
      <c r="E9" s="33">
        <f>REVENUE!D25*$B$9</f>
        <v>578500</v>
      </c>
      <c r="F9" s="33">
        <f>REVENUE!E25*$B$9</f>
        <v>1268750</v>
      </c>
      <c r="G9" s="33">
        <f>REVENUE!F25*$B$9</f>
        <v>2380000</v>
      </c>
    </row>
    <row r="10" spans="1:9" x14ac:dyDescent="0.3">
      <c r="A10" s="55" t="s">
        <v>49</v>
      </c>
      <c r="B10" s="42"/>
      <c r="C10" s="77">
        <f>SUM(C5:C9)</f>
        <v>256500</v>
      </c>
      <c r="D10" s="77">
        <f t="shared" ref="D10:G10" si="0">SUM(D5:D9)</f>
        <v>548910</v>
      </c>
      <c r="E10" s="77">
        <f t="shared" si="0"/>
        <v>947160</v>
      </c>
      <c r="F10" s="77">
        <f t="shared" si="0"/>
        <v>1699910</v>
      </c>
      <c r="G10" s="77">
        <f t="shared" si="0"/>
        <v>2893660</v>
      </c>
    </row>
    <row r="11" spans="1:9" x14ac:dyDescent="0.3">
      <c r="A11" s="106" t="s">
        <v>31</v>
      </c>
      <c r="B11" s="92"/>
      <c r="C11" s="131">
        <f>C10/REVENUE!B25</f>
        <v>8.5785953177257526E-2</v>
      </c>
      <c r="D11" s="131">
        <f>D10/REVENUE!C25</f>
        <v>0.11919869706840391</v>
      </c>
      <c r="E11" s="131">
        <f>E10/REVENUE!D25</f>
        <v>8.1863439930855667E-2</v>
      </c>
      <c r="F11" s="131">
        <f>F10/REVENUE!E25</f>
        <v>6.6991527093596057E-2</v>
      </c>
      <c r="G11" s="131">
        <f>G10/REVENUE!F25</f>
        <v>6.0791176470588237E-2</v>
      </c>
    </row>
    <row r="13" spans="1:9" x14ac:dyDescent="0.3">
      <c r="A13" s="129" t="s">
        <v>42</v>
      </c>
    </row>
    <row r="14" spans="1:9" x14ac:dyDescent="0.3">
      <c r="A14" s="103" t="s">
        <v>23</v>
      </c>
      <c r="C14" s="33">
        <f>PEOPLE!C28</f>
        <v>290400</v>
      </c>
      <c r="D14" s="33">
        <f>PEOPLE!D28</f>
        <v>290400</v>
      </c>
      <c r="E14" s="33">
        <f>PEOPLE!E28</f>
        <v>290400</v>
      </c>
      <c r="F14" s="33">
        <f>PEOPLE!F28</f>
        <v>290400</v>
      </c>
      <c r="G14" s="33">
        <f>PEOPLE!G28</f>
        <v>290400</v>
      </c>
    </row>
    <row r="15" spans="1:9" x14ac:dyDescent="0.3">
      <c r="A15" s="103" t="s">
        <v>44</v>
      </c>
      <c r="B15" s="117">
        <v>0.15</v>
      </c>
      <c r="C15" s="33">
        <f>REVENUE!B25*$B$15</f>
        <v>448500</v>
      </c>
      <c r="D15" s="33">
        <f>REVENUE!C25*$B$15</f>
        <v>690750</v>
      </c>
      <c r="E15" s="33">
        <f>REVENUE!D25*$B$15</f>
        <v>1735500</v>
      </c>
      <c r="F15" s="33">
        <f>REVENUE!E25*$B$15</f>
        <v>3806250</v>
      </c>
      <c r="G15" s="33">
        <f>REVENUE!F25*$B$15</f>
        <v>7140000</v>
      </c>
    </row>
    <row r="16" spans="1:9" x14ac:dyDescent="0.3">
      <c r="A16" s="103" t="s">
        <v>38</v>
      </c>
      <c r="C16" s="100"/>
      <c r="D16" s="100"/>
      <c r="E16" s="100"/>
      <c r="F16" s="100"/>
      <c r="G16" s="100"/>
    </row>
    <row r="17" spans="1:7" x14ac:dyDescent="0.3">
      <c r="A17" s="103" t="s">
        <v>39</v>
      </c>
      <c r="C17" s="100"/>
      <c r="D17" s="100"/>
      <c r="E17" s="100"/>
      <c r="F17" s="100"/>
      <c r="G17" s="100"/>
    </row>
    <row r="18" spans="1:7" x14ac:dyDescent="0.3">
      <c r="A18" s="103" t="s">
        <v>45</v>
      </c>
      <c r="B18" s="121">
        <v>0.05</v>
      </c>
      <c r="C18" s="100">
        <f>REVENUE!B25*$B$18</f>
        <v>149500</v>
      </c>
      <c r="D18" s="100">
        <f>REVENUE!C25*$B$18</f>
        <v>230250</v>
      </c>
      <c r="E18" s="100">
        <f>REVENUE!D25*$B$18</f>
        <v>578500</v>
      </c>
      <c r="F18" s="100">
        <f>REVENUE!E25*$B$18</f>
        <v>1268750</v>
      </c>
      <c r="G18" s="100">
        <f>REVENUE!F25*$B$18</f>
        <v>2380000</v>
      </c>
    </row>
    <row r="19" spans="1:7" x14ac:dyDescent="0.3">
      <c r="A19" s="55" t="s">
        <v>50</v>
      </c>
      <c r="B19" s="42"/>
      <c r="C19" s="77">
        <f>SUM(C14:C18)</f>
        <v>888400</v>
      </c>
      <c r="D19" s="77">
        <f t="shared" ref="D19:G19" si="1">SUM(D14:D18)</f>
        <v>1211400</v>
      </c>
      <c r="E19" s="77">
        <f t="shared" si="1"/>
        <v>2604400</v>
      </c>
      <c r="F19" s="77">
        <f t="shared" si="1"/>
        <v>5365400</v>
      </c>
      <c r="G19" s="77">
        <f t="shared" si="1"/>
        <v>9810400</v>
      </c>
    </row>
    <row r="20" spans="1:7" x14ac:dyDescent="0.3">
      <c r="A20" s="106" t="s">
        <v>31</v>
      </c>
      <c r="B20" s="92"/>
      <c r="C20" s="131">
        <f>C19/REVENUE!B25</f>
        <v>0.29712374581939799</v>
      </c>
      <c r="D20" s="131">
        <f>D19/REVENUE!C25</f>
        <v>0.26306188925081431</v>
      </c>
      <c r="E20" s="131">
        <f>E19/REVENUE!D25</f>
        <v>0.22509939498703543</v>
      </c>
      <c r="F20" s="131">
        <f>F19/REVENUE!E25</f>
        <v>0.21144433497536946</v>
      </c>
      <c r="G20" s="131">
        <f>G19/REVENUE!F25</f>
        <v>0.20610084033613446</v>
      </c>
    </row>
    <row r="22" spans="1:7" x14ac:dyDescent="0.3">
      <c r="A22" s="129" t="s">
        <v>46</v>
      </c>
    </row>
    <row r="23" spans="1:7" x14ac:dyDescent="0.3">
      <c r="A23" s="103" t="s">
        <v>47</v>
      </c>
      <c r="C23" s="33">
        <f>PEOPLE!C40</f>
        <v>222200</v>
      </c>
      <c r="D23" s="33">
        <f>PEOPLE!D40</f>
        <v>222200</v>
      </c>
      <c r="E23" s="33">
        <f>PEOPLE!E40</f>
        <v>222200</v>
      </c>
      <c r="F23" s="33">
        <f>PEOPLE!F40</f>
        <v>222200</v>
      </c>
      <c r="G23" s="33">
        <f>PEOPLE!G40</f>
        <v>222200</v>
      </c>
    </row>
    <row r="24" spans="1:7" x14ac:dyDescent="0.3">
      <c r="A24" s="103" t="s">
        <v>38</v>
      </c>
      <c r="C24" s="100"/>
      <c r="D24" s="100"/>
      <c r="E24" s="100"/>
      <c r="F24" s="100"/>
      <c r="G24" s="100"/>
    </row>
    <row r="25" spans="1:7" x14ac:dyDescent="0.3">
      <c r="A25" s="103" t="s">
        <v>39</v>
      </c>
      <c r="C25" s="100"/>
      <c r="D25" s="100"/>
      <c r="E25" s="100"/>
      <c r="F25" s="100"/>
      <c r="G25" s="100"/>
    </row>
    <row r="26" spans="1:7" x14ac:dyDescent="0.3">
      <c r="A26" s="103" t="s">
        <v>48</v>
      </c>
      <c r="B26" s="117">
        <v>0.05</v>
      </c>
      <c r="C26" s="33">
        <f>REVENUE!B25*$B$26</f>
        <v>149500</v>
      </c>
      <c r="D26" s="33">
        <f>REVENUE!C25*$B$26</f>
        <v>230250</v>
      </c>
      <c r="E26" s="33">
        <f>REVENUE!D25*$B$26</f>
        <v>578500</v>
      </c>
      <c r="F26" s="33">
        <f>REVENUE!E25*$B$26</f>
        <v>1268750</v>
      </c>
      <c r="G26" s="33">
        <f>REVENUE!F25*$B$26</f>
        <v>2380000</v>
      </c>
    </row>
    <row r="27" spans="1:7" x14ac:dyDescent="0.3">
      <c r="A27" s="55" t="s">
        <v>51</v>
      </c>
      <c r="B27" s="42"/>
      <c r="C27" s="77">
        <f>SUM(C23:C26)</f>
        <v>371700</v>
      </c>
      <c r="D27" s="77">
        <f t="shared" ref="D27:G27" si="2">SUM(D23:D26)</f>
        <v>452450</v>
      </c>
      <c r="E27" s="77">
        <f t="shared" si="2"/>
        <v>800700</v>
      </c>
      <c r="F27" s="77">
        <f t="shared" si="2"/>
        <v>1490950</v>
      </c>
      <c r="G27" s="77">
        <f t="shared" si="2"/>
        <v>2602200</v>
      </c>
    </row>
    <row r="28" spans="1:7" x14ac:dyDescent="0.3">
      <c r="A28" s="106" t="s">
        <v>31</v>
      </c>
      <c r="B28" s="92"/>
      <c r="C28" s="93">
        <f>C27/REVENUE!B25</f>
        <v>0.12431438127090301</v>
      </c>
      <c r="D28" s="93">
        <f>D27/REVENUE!C25</f>
        <v>9.8251900108577636E-2</v>
      </c>
      <c r="E28" s="93">
        <f>E27/REVENUE!D25</f>
        <v>6.9204840103716511E-2</v>
      </c>
      <c r="F28" s="93">
        <f>F27/REVENUE!E25</f>
        <v>5.8756650246305421E-2</v>
      </c>
      <c r="G28" s="93">
        <f>G27/REVENUE!F25</f>
        <v>5.4668067226890757E-2</v>
      </c>
    </row>
    <row r="31" spans="1:7" x14ac:dyDescent="0.3">
      <c r="A31" s="45" t="s">
        <v>52</v>
      </c>
      <c r="B31" s="42"/>
      <c r="C31" s="33">
        <f>SUM(C10,C19,C27)</f>
        <v>1516600</v>
      </c>
      <c r="D31" s="33">
        <f>SUM(D10,D19,D27)</f>
        <v>2212760</v>
      </c>
      <c r="E31" s="33">
        <f>SUM(E10,E19,E27)</f>
        <v>4352260</v>
      </c>
      <c r="F31" s="33">
        <f>SUM(F10,F19,F27)</f>
        <v>8556260</v>
      </c>
      <c r="G31" s="33">
        <f>SUM(G10,G19,G27)</f>
        <v>15306260</v>
      </c>
    </row>
    <row r="32" spans="1:7" x14ac:dyDescent="0.3">
      <c r="A32" s="65" t="s">
        <v>32</v>
      </c>
      <c r="B32" s="42"/>
      <c r="C32" s="33">
        <f>SUM(C23:C25)</f>
        <v>222200</v>
      </c>
      <c r="D32" s="33">
        <f t="shared" ref="D32:G32" si="3">SUM(D23:D25)</f>
        <v>222200</v>
      </c>
      <c r="E32" s="33">
        <f t="shared" si="3"/>
        <v>222200</v>
      </c>
      <c r="F32" s="33">
        <f t="shared" si="3"/>
        <v>222200</v>
      </c>
      <c r="G32" s="33">
        <f t="shared" si="3"/>
        <v>222200</v>
      </c>
    </row>
    <row r="33" spans="1:7" x14ac:dyDescent="0.3">
      <c r="A33" s="65" t="s">
        <v>53</v>
      </c>
      <c r="B33" s="42"/>
      <c r="C33" s="33">
        <f>SUM(C9,C15,C18,C26)</f>
        <v>897000</v>
      </c>
      <c r="D33" s="33">
        <f t="shared" ref="D33:G33" si="4">SUM(D9,D15,D18,D26)</f>
        <v>1381500</v>
      </c>
      <c r="E33" s="33">
        <f t="shared" si="4"/>
        <v>3471000</v>
      </c>
      <c r="F33" s="33">
        <f t="shared" si="4"/>
        <v>7612500</v>
      </c>
      <c r="G33" s="33">
        <f t="shared" si="4"/>
        <v>14280000</v>
      </c>
    </row>
    <row r="34" spans="1:7" x14ac:dyDescent="0.3">
      <c r="A34" s="106" t="s">
        <v>31</v>
      </c>
      <c r="B34" s="92"/>
      <c r="C34" s="131">
        <f>C31/REVENUE!B25</f>
        <v>0.5072240802675585</v>
      </c>
      <c r="D34" s="131">
        <f>D31/REVENUE!C25</f>
        <v>0.48051248642779587</v>
      </c>
      <c r="E34" s="131">
        <f>E31/REVENUE!D25</f>
        <v>0.37616767502160758</v>
      </c>
      <c r="F34" s="131">
        <f>F31/REVENUE!E25</f>
        <v>0.33719251231527092</v>
      </c>
      <c r="G34" s="131">
        <f>G31/REVENUE!F25</f>
        <v>0.32156008403361347</v>
      </c>
    </row>
    <row r="36" spans="1:7" x14ac:dyDescent="0.3">
      <c r="A36" s="50"/>
      <c r="B36" s="61"/>
      <c r="C36" s="61"/>
      <c r="D36" s="61"/>
      <c r="E36" s="61"/>
      <c r="F36" s="61"/>
      <c r="G36" s="61"/>
    </row>
    <row r="37" spans="1:7" x14ac:dyDescent="0.3">
      <c r="A37" s="132"/>
      <c r="B37" s="132"/>
      <c r="C37" s="132"/>
      <c r="D37" s="132"/>
      <c r="E37" s="132"/>
      <c r="F37" s="132"/>
      <c r="G37" s="132"/>
    </row>
    <row r="38" spans="1:7" x14ac:dyDescent="0.3">
      <c r="A38" s="133" t="s">
        <v>54</v>
      </c>
      <c r="B38" s="132"/>
      <c r="C38" s="26" t="s">
        <v>1</v>
      </c>
      <c r="D38" s="26"/>
      <c r="E38" s="50" t="s">
        <v>235</v>
      </c>
      <c r="F38" s="26"/>
      <c r="G38" s="26"/>
    </row>
    <row r="39" spans="1:7" x14ac:dyDescent="0.3">
      <c r="A39" s="132"/>
      <c r="B39" s="132"/>
      <c r="C39" s="26">
        <v>1</v>
      </c>
      <c r="D39" s="26"/>
      <c r="E39" s="26"/>
      <c r="F39" s="26"/>
      <c r="G39" s="26"/>
    </row>
    <row r="40" spans="1:7" x14ac:dyDescent="0.3">
      <c r="A40" s="61" t="s">
        <v>266</v>
      </c>
      <c r="B40" s="132"/>
      <c r="C40" s="134">
        <f>REVENUE!B53*C$11</f>
        <v>21366.45</v>
      </c>
      <c r="D40" s="134"/>
      <c r="E40" s="134"/>
      <c r="F40" s="134"/>
      <c r="G40" s="134"/>
    </row>
    <row r="41" spans="1:7" x14ac:dyDescent="0.3">
      <c r="A41" s="61" t="s">
        <v>267</v>
      </c>
      <c r="B41" s="132"/>
      <c r="C41" s="134">
        <f>REVENUE!B54*C$11</f>
        <v>21366.45</v>
      </c>
      <c r="D41" s="134"/>
      <c r="E41" s="134"/>
      <c r="F41" s="134"/>
      <c r="G41" s="134"/>
    </row>
    <row r="42" spans="1:7" x14ac:dyDescent="0.3">
      <c r="A42" s="61" t="s">
        <v>268</v>
      </c>
      <c r="B42" s="132"/>
      <c r="C42" s="134">
        <f>REVENUE!B55*C$11</f>
        <v>21366.45</v>
      </c>
      <c r="D42" s="134"/>
      <c r="E42" s="134"/>
      <c r="F42" s="134"/>
      <c r="G42" s="134"/>
    </row>
    <row r="43" spans="1:7" x14ac:dyDescent="0.3">
      <c r="A43" s="135" t="s">
        <v>278</v>
      </c>
      <c r="B43" s="132"/>
      <c r="C43" s="134">
        <f>REVENUE!B56*C$11</f>
        <v>64099.35</v>
      </c>
      <c r="D43" s="136"/>
      <c r="E43" s="136"/>
      <c r="F43" s="136"/>
      <c r="G43" s="136"/>
    </row>
    <row r="44" spans="1:7" x14ac:dyDescent="0.3">
      <c r="A44" s="61" t="s">
        <v>269</v>
      </c>
      <c r="B44" s="132"/>
      <c r="C44" s="134">
        <f>REVENUE!B57*C$11</f>
        <v>21366.45</v>
      </c>
      <c r="D44" s="134"/>
      <c r="E44" s="134"/>
      <c r="F44" s="134"/>
      <c r="G44" s="134"/>
    </row>
    <row r="45" spans="1:7" x14ac:dyDescent="0.3">
      <c r="A45" s="61" t="s">
        <v>270</v>
      </c>
      <c r="B45" s="132"/>
      <c r="C45" s="134">
        <f>REVENUE!B58*C$11</f>
        <v>21366.45</v>
      </c>
      <c r="D45" s="134"/>
      <c r="E45" s="134"/>
      <c r="F45" s="134"/>
      <c r="G45" s="134"/>
    </row>
    <row r="46" spans="1:7" x14ac:dyDescent="0.3">
      <c r="A46" s="61" t="s">
        <v>271</v>
      </c>
      <c r="B46" s="132"/>
      <c r="C46" s="134">
        <f>REVENUE!B59*C$11</f>
        <v>21366.45</v>
      </c>
      <c r="D46" s="134"/>
      <c r="E46" s="134"/>
      <c r="F46" s="134"/>
      <c r="G46" s="134"/>
    </row>
    <row r="47" spans="1:7" x14ac:dyDescent="0.3">
      <c r="A47" s="135" t="s">
        <v>279</v>
      </c>
      <c r="B47" s="132"/>
      <c r="C47" s="134">
        <f>REVENUE!B60*C$11</f>
        <v>64099.35</v>
      </c>
      <c r="D47" s="136"/>
      <c r="E47" s="136"/>
      <c r="F47" s="136"/>
      <c r="G47" s="136"/>
    </row>
    <row r="48" spans="1:7" x14ac:dyDescent="0.3">
      <c r="A48" s="61" t="s">
        <v>272</v>
      </c>
      <c r="B48" s="132"/>
      <c r="C48" s="134">
        <f>REVENUE!B61*C$11</f>
        <v>21366.45</v>
      </c>
      <c r="D48" s="134"/>
      <c r="E48" s="134"/>
      <c r="F48" s="134"/>
      <c r="G48" s="134"/>
    </row>
    <row r="49" spans="1:7" x14ac:dyDescent="0.3">
      <c r="A49" s="61" t="s">
        <v>273</v>
      </c>
      <c r="B49" s="132"/>
      <c r="C49" s="134">
        <f>REVENUE!B62*C$11</f>
        <v>21366.45</v>
      </c>
      <c r="D49" s="134"/>
      <c r="E49" s="134"/>
      <c r="F49" s="134"/>
      <c r="G49" s="134"/>
    </row>
    <row r="50" spans="1:7" x14ac:dyDescent="0.3">
      <c r="A50" s="61" t="s">
        <v>274</v>
      </c>
      <c r="B50" s="132"/>
      <c r="C50" s="134">
        <f>REVENUE!B63*C$11</f>
        <v>21392.1</v>
      </c>
      <c r="D50" s="134"/>
      <c r="E50" s="134"/>
      <c r="F50" s="134"/>
      <c r="G50" s="134"/>
    </row>
    <row r="51" spans="1:7" x14ac:dyDescent="0.3">
      <c r="A51" s="135" t="s">
        <v>280</v>
      </c>
      <c r="B51" s="132"/>
      <c r="C51" s="134">
        <f>REVENUE!B64*C$11</f>
        <v>64125</v>
      </c>
      <c r="D51" s="136"/>
      <c r="E51" s="136"/>
      <c r="F51" s="136"/>
      <c r="G51" s="136"/>
    </row>
    <row r="52" spans="1:7" x14ac:dyDescent="0.3">
      <c r="A52" s="61" t="s">
        <v>275</v>
      </c>
      <c r="B52" s="132"/>
      <c r="C52" s="134">
        <f>REVENUE!B65*C$11</f>
        <v>21392.1</v>
      </c>
      <c r="D52" s="134"/>
      <c r="E52" s="134"/>
      <c r="F52" s="134"/>
      <c r="G52" s="134"/>
    </row>
    <row r="53" spans="1:7" x14ac:dyDescent="0.3">
      <c r="A53" s="61" t="s">
        <v>276</v>
      </c>
      <c r="B53" s="132"/>
      <c r="C53" s="134">
        <f>REVENUE!B66*C$11</f>
        <v>21392.1</v>
      </c>
      <c r="D53" s="134"/>
      <c r="E53" s="134"/>
      <c r="F53" s="134"/>
      <c r="G53" s="134"/>
    </row>
    <row r="54" spans="1:7" x14ac:dyDescent="0.3">
      <c r="A54" s="61" t="s">
        <v>277</v>
      </c>
      <c r="B54" s="132"/>
      <c r="C54" s="134">
        <f>REVENUE!B67*C$11</f>
        <v>21392.1</v>
      </c>
      <c r="D54" s="134"/>
      <c r="E54" s="134"/>
      <c r="F54" s="134"/>
      <c r="G54" s="134"/>
    </row>
    <row r="55" spans="1:7" x14ac:dyDescent="0.3">
      <c r="A55" s="135" t="s">
        <v>281</v>
      </c>
      <c r="B55" s="132"/>
      <c r="C55" s="134">
        <f>REVENUE!B68*C$11</f>
        <v>64176.299999999988</v>
      </c>
      <c r="D55" s="136"/>
      <c r="E55" s="136"/>
      <c r="F55" s="136"/>
      <c r="G55" s="136"/>
    </row>
    <row r="56" spans="1:7" x14ac:dyDescent="0.3">
      <c r="A56" s="135" t="s">
        <v>282</v>
      </c>
      <c r="B56" s="132"/>
      <c r="C56" s="134">
        <f>REVENUE!B69*C$11</f>
        <v>256500</v>
      </c>
      <c r="D56" s="136"/>
      <c r="E56" s="136"/>
      <c r="F56" s="136"/>
      <c r="G56" s="136"/>
    </row>
    <row r="57" spans="1:7" x14ac:dyDescent="0.3">
      <c r="A57" s="132"/>
      <c r="B57" s="132"/>
      <c r="C57" s="132"/>
      <c r="D57" s="132"/>
      <c r="E57" s="132"/>
      <c r="F57" s="132"/>
      <c r="G57" s="132"/>
    </row>
    <row r="58" spans="1:7" x14ac:dyDescent="0.3">
      <c r="A58" s="132"/>
      <c r="B58" s="132"/>
      <c r="C58" s="132"/>
      <c r="D58" s="132"/>
      <c r="E58" s="132"/>
      <c r="F58" s="132"/>
      <c r="G58" s="132"/>
    </row>
    <row r="59" spans="1:7" x14ac:dyDescent="0.3">
      <c r="A59" s="133" t="s">
        <v>42</v>
      </c>
      <c r="B59" s="132"/>
      <c r="C59" s="137"/>
      <c r="D59" s="137"/>
      <c r="E59" s="137"/>
      <c r="F59" s="137"/>
      <c r="G59" s="137"/>
    </row>
    <row r="60" spans="1:7" x14ac:dyDescent="0.3">
      <c r="A60" s="132"/>
      <c r="B60" s="132"/>
      <c r="C60" s="137"/>
      <c r="D60" s="137"/>
      <c r="E60" s="137"/>
      <c r="F60" s="137"/>
      <c r="G60" s="137"/>
    </row>
    <row r="61" spans="1:7" x14ac:dyDescent="0.3">
      <c r="A61" s="61" t="s">
        <v>266</v>
      </c>
      <c r="B61" s="132"/>
      <c r="C61" s="134">
        <f>REVENUE!B53*C$20</f>
        <v>74003.72</v>
      </c>
      <c r="D61" s="134"/>
      <c r="E61" s="134"/>
      <c r="F61" s="134"/>
      <c r="G61" s="134"/>
    </row>
    <row r="62" spans="1:7" x14ac:dyDescent="0.3">
      <c r="A62" s="61" t="s">
        <v>267</v>
      </c>
      <c r="B62" s="132"/>
      <c r="C62" s="134">
        <f>REVENUE!B54*C$20</f>
        <v>74003.72</v>
      </c>
      <c r="D62" s="134"/>
      <c r="E62" s="134"/>
      <c r="F62" s="134"/>
      <c r="G62" s="134"/>
    </row>
    <row r="63" spans="1:7" x14ac:dyDescent="0.3">
      <c r="A63" s="61" t="s">
        <v>268</v>
      </c>
      <c r="B63" s="132"/>
      <c r="C63" s="134">
        <f>REVENUE!B55*C$20</f>
        <v>74003.72</v>
      </c>
      <c r="D63" s="134"/>
      <c r="E63" s="134"/>
      <c r="F63" s="134"/>
      <c r="G63" s="134"/>
    </row>
    <row r="64" spans="1:7" x14ac:dyDescent="0.3">
      <c r="A64" s="135" t="s">
        <v>278</v>
      </c>
      <c r="B64" s="132"/>
      <c r="C64" s="134">
        <f>REVENUE!B56*C$20</f>
        <v>222011.16</v>
      </c>
      <c r="D64" s="136"/>
      <c r="E64" s="136"/>
      <c r="F64" s="136"/>
      <c r="G64" s="136"/>
    </row>
    <row r="65" spans="1:7" x14ac:dyDescent="0.3">
      <c r="A65" s="61" t="s">
        <v>269</v>
      </c>
      <c r="B65" s="132"/>
      <c r="C65" s="134">
        <f>REVENUE!B57*C$20</f>
        <v>74003.72</v>
      </c>
      <c r="D65" s="134"/>
      <c r="E65" s="134"/>
      <c r="F65" s="134"/>
      <c r="G65" s="134"/>
    </row>
    <row r="66" spans="1:7" x14ac:dyDescent="0.3">
      <c r="A66" s="61" t="s">
        <v>270</v>
      </c>
      <c r="B66" s="132"/>
      <c r="C66" s="134">
        <f>REVENUE!B58*C$20</f>
        <v>74003.72</v>
      </c>
      <c r="D66" s="134"/>
      <c r="E66" s="134"/>
      <c r="F66" s="134"/>
      <c r="G66" s="134"/>
    </row>
    <row r="67" spans="1:7" x14ac:dyDescent="0.3">
      <c r="A67" s="61" t="s">
        <v>271</v>
      </c>
      <c r="B67" s="132"/>
      <c r="C67" s="134">
        <f>REVENUE!B59*C$20</f>
        <v>74003.72</v>
      </c>
      <c r="D67" s="134"/>
      <c r="E67" s="134"/>
      <c r="F67" s="134"/>
      <c r="G67" s="134"/>
    </row>
    <row r="68" spans="1:7" x14ac:dyDescent="0.3">
      <c r="A68" s="135" t="s">
        <v>279</v>
      </c>
      <c r="B68" s="132"/>
      <c r="C68" s="134">
        <f>REVENUE!B60*C$20</f>
        <v>222011.16</v>
      </c>
      <c r="D68" s="136"/>
      <c r="E68" s="136"/>
      <c r="F68" s="136"/>
      <c r="G68" s="136"/>
    </row>
    <row r="69" spans="1:7" x14ac:dyDescent="0.3">
      <c r="A69" s="61" t="s">
        <v>272</v>
      </c>
      <c r="B69" s="132"/>
      <c r="C69" s="134">
        <f>REVENUE!B61*C$20</f>
        <v>74003.72</v>
      </c>
      <c r="D69" s="134"/>
      <c r="E69" s="134"/>
      <c r="F69" s="134"/>
      <c r="G69" s="134"/>
    </row>
    <row r="70" spans="1:7" x14ac:dyDescent="0.3">
      <c r="A70" s="61" t="s">
        <v>273</v>
      </c>
      <c r="B70" s="132"/>
      <c r="C70" s="134">
        <f>REVENUE!B62*C$20</f>
        <v>74003.72</v>
      </c>
      <c r="D70" s="134"/>
      <c r="E70" s="134"/>
      <c r="F70" s="134"/>
      <c r="G70" s="134"/>
    </row>
    <row r="71" spans="1:7" x14ac:dyDescent="0.3">
      <c r="A71" s="61" t="s">
        <v>274</v>
      </c>
      <c r="B71" s="132"/>
      <c r="C71" s="134">
        <f>REVENUE!B63*C$20</f>
        <v>74092.56</v>
      </c>
      <c r="D71" s="134"/>
      <c r="E71" s="134"/>
      <c r="F71" s="134"/>
      <c r="G71" s="134"/>
    </row>
    <row r="72" spans="1:7" x14ac:dyDescent="0.3">
      <c r="A72" s="135" t="s">
        <v>280</v>
      </c>
      <c r="B72" s="132"/>
      <c r="C72" s="134">
        <f>REVENUE!B64*C$20</f>
        <v>222100</v>
      </c>
      <c r="D72" s="136"/>
      <c r="E72" s="136"/>
      <c r="F72" s="136"/>
      <c r="G72" s="136"/>
    </row>
    <row r="73" spans="1:7" x14ac:dyDescent="0.3">
      <c r="A73" s="61" t="s">
        <v>275</v>
      </c>
      <c r="B73" s="132"/>
      <c r="C73" s="134">
        <f>REVENUE!B65*C$20</f>
        <v>74092.56</v>
      </c>
      <c r="D73" s="134"/>
      <c r="E73" s="134"/>
      <c r="F73" s="134"/>
      <c r="G73" s="134"/>
    </row>
    <row r="74" spans="1:7" x14ac:dyDescent="0.3">
      <c r="A74" s="61" t="s">
        <v>276</v>
      </c>
      <c r="B74" s="132"/>
      <c r="C74" s="134">
        <f>REVENUE!B66*C$20</f>
        <v>74092.56</v>
      </c>
      <c r="D74" s="134"/>
      <c r="E74" s="134"/>
      <c r="F74" s="134"/>
      <c r="G74" s="134"/>
    </row>
    <row r="75" spans="1:7" x14ac:dyDescent="0.3">
      <c r="A75" s="61" t="s">
        <v>277</v>
      </c>
      <c r="B75" s="132"/>
      <c r="C75" s="134">
        <f>REVENUE!B67*C$20</f>
        <v>74092.56</v>
      </c>
      <c r="D75" s="134"/>
      <c r="E75" s="134"/>
      <c r="F75" s="134"/>
      <c r="G75" s="134"/>
    </row>
    <row r="76" spans="1:7" x14ac:dyDescent="0.3">
      <c r="A76" s="135" t="s">
        <v>281</v>
      </c>
      <c r="B76" s="132"/>
      <c r="C76" s="134">
        <f>REVENUE!B68*C$20</f>
        <v>222277.67999999996</v>
      </c>
      <c r="D76" s="136"/>
      <c r="E76" s="136"/>
      <c r="F76" s="136"/>
      <c r="G76" s="136"/>
    </row>
    <row r="77" spans="1:7" x14ac:dyDescent="0.3">
      <c r="A77" s="135" t="s">
        <v>282</v>
      </c>
      <c r="B77" s="132"/>
      <c r="C77" s="134">
        <f>REVENUE!B69*C$20</f>
        <v>888400</v>
      </c>
      <c r="D77" s="136"/>
      <c r="E77" s="136"/>
      <c r="F77" s="136"/>
      <c r="G77" s="136"/>
    </row>
    <row r="78" spans="1:7" x14ac:dyDescent="0.3">
      <c r="A78" s="132"/>
      <c r="B78" s="132"/>
      <c r="C78" s="132"/>
      <c r="D78" s="132"/>
      <c r="E78" s="132"/>
      <c r="F78" s="132"/>
      <c r="G78" s="132"/>
    </row>
    <row r="79" spans="1:7" x14ac:dyDescent="0.3">
      <c r="A79" s="132"/>
      <c r="B79" s="132"/>
      <c r="C79" s="132"/>
      <c r="D79" s="132"/>
      <c r="E79" s="132"/>
      <c r="F79" s="132"/>
      <c r="G79" s="132"/>
    </row>
    <row r="80" spans="1:7" x14ac:dyDescent="0.3">
      <c r="A80" s="133" t="s">
        <v>46</v>
      </c>
      <c r="B80" s="132"/>
      <c r="C80" s="137"/>
      <c r="D80" s="137"/>
      <c r="E80" s="137"/>
      <c r="F80" s="137"/>
      <c r="G80" s="137"/>
    </row>
    <row r="81" spans="1:7" x14ac:dyDescent="0.3">
      <c r="A81" s="132"/>
      <c r="B81" s="132"/>
      <c r="C81" s="137"/>
      <c r="D81" s="137"/>
      <c r="E81" s="137"/>
      <c r="F81" s="137"/>
      <c r="G81" s="137"/>
    </row>
    <row r="82" spans="1:7" x14ac:dyDescent="0.3">
      <c r="A82" s="61" t="s">
        <v>266</v>
      </c>
      <c r="B82" s="132"/>
      <c r="C82" s="134">
        <f>REVENUE!B53*C$28</f>
        <v>30962.61</v>
      </c>
      <c r="D82" s="134"/>
      <c r="E82" s="134"/>
      <c r="F82" s="134"/>
      <c r="G82" s="134"/>
    </row>
    <row r="83" spans="1:7" x14ac:dyDescent="0.3">
      <c r="A83" s="61" t="s">
        <v>267</v>
      </c>
      <c r="B83" s="132"/>
      <c r="C83" s="134">
        <f>REVENUE!B54*C$28</f>
        <v>30962.61</v>
      </c>
      <c r="D83" s="134"/>
      <c r="E83" s="134"/>
      <c r="F83" s="134"/>
      <c r="G83" s="134"/>
    </row>
    <row r="84" spans="1:7" x14ac:dyDescent="0.3">
      <c r="A84" s="61" t="s">
        <v>268</v>
      </c>
      <c r="B84" s="132"/>
      <c r="C84" s="134">
        <f>REVENUE!B55*C$28</f>
        <v>30962.61</v>
      </c>
      <c r="D84" s="134"/>
      <c r="E84" s="134"/>
      <c r="F84" s="134"/>
      <c r="G84" s="134"/>
    </row>
    <row r="85" spans="1:7" x14ac:dyDescent="0.3">
      <c r="A85" s="135" t="s">
        <v>278</v>
      </c>
      <c r="B85" s="132"/>
      <c r="C85" s="134">
        <f>REVENUE!B56*C$28</f>
        <v>92887.83</v>
      </c>
      <c r="D85" s="136"/>
      <c r="E85" s="136"/>
      <c r="F85" s="136"/>
      <c r="G85" s="136"/>
    </row>
    <row r="86" spans="1:7" x14ac:dyDescent="0.3">
      <c r="A86" s="61" t="s">
        <v>269</v>
      </c>
      <c r="B86" s="132"/>
      <c r="C86" s="134">
        <f>REVENUE!B57*C$28</f>
        <v>30962.61</v>
      </c>
      <c r="D86" s="134"/>
      <c r="E86" s="134"/>
      <c r="F86" s="134"/>
      <c r="G86" s="134"/>
    </row>
    <row r="87" spans="1:7" x14ac:dyDescent="0.3">
      <c r="A87" s="61" t="s">
        <v>270</v>
      </c>
      <c r="B87" s="132"/>
      <c r="C87" s="134">
        <f>REVENUE!B58*C$28</f>
        <v>30962.61</v>
      </c>
      <c r="D87" s="134"/>
      <c r="E87" s="134"/>
      <c r="F87" s="134"/>
      <c r="G87" s="134"/>
    </row>
    <row r="88" spans="1:7" x14ac:dyDescent="0.3">
      <c r="A88" s="61" t="s">
        <v>271</v>
      </c>
      <c r="B88" s="132"/>
      <c r="C88" s="134">
        <f>REVENUE!B59*C$28</f>
        <v>30962.61</v>
      </c>
      <c r="D88" s="134"/>
      <c r="E88" s="134"/>
      <c r="F88" s="134"/>
      <c r="G88" s="134"/>
    </row>
    <row r="89" spans="1:7" x14ac:dyDescent="0.3">
      <c r="A89" s="135" t="s">
        <v>279</v>
      </c>
      <c r="B89" s="132"/>
      <c r="C89" s="134">
        <f>REVENUE!B60*C$28</f>
        <v>92887.83</v>
      </c>
      <c r="D89" s="136"/>
      <c r="E89" s="136"/>
      <c r="F89" s="136"/>
      <c r="G89" s="136"/>
    </row>
    <row r="90" spans="1:7" x14ac:dyDescent="0.3">
      <c r="A90" s="61" t="s">
        <v>272</v>
      </c>
      <c r="B90" s="132"/>
      <c r="C90" s="134">
        <f>REVENUE!B61*C$28</f>
        <v>30962.61</v>
      </c>
      <c r="D90" s="134"/>
      <c r="E90" s="134"/>
      <c r="F90" s="134"/>
      <c r="G90" s="134"/>
    </row>
    <row r="91" spans="1:7" x14ac:dyDescent="0.3">
      <c r="A91" s="61" t="s">
        <v>273</v>
      </c>
      <c r="B91" s="132"/>
      <c r="C91" s="134">
        <f>REVENUE!B62*C$28</f>
        <v>30962.61</v>
      </c>
      <c r="D91" s="134"/>
      <c r="E91" s="134"/>
      <c r="F91" s="134"/>
      <c r="G91" s="134"/>
    </row>
    <row r="92" spans="1:7" x14ac:dyDescent="0.3">
      <c r="A92" s="61" t="s">
        <v>274</v>
      </c>
      <c r="B92" s="132"/>
      <c r="C92" s="134">
        <f>REVENUE!B63*C$28</f>
        <v>30999.78</v>
      </c>
      <c r="D92" s="134"/>
      <c r="E92" s="134"/>
      <c r="F92" s="134"/>
      <c r="G92" s="134"/>
    </row>
    <row r="93" spans="1:7" x14ac:dyDescent="0.3">
      <c r="A93" s="135" t="s">
        <v>280</v>
      </c>
      <c r="B93" s="132"/>
      <c r="C93" s="134">
        <f>REVENUE!B64*C$28</f>
        <v>92925</v>
      </c>
      <c r="D93" s="136"/>
      <c r="E93" s="136"/>
      <c r="F93" s="136"/>
      <c r="G93" s="136"/>
    </row>
    <row r="94" spans="1:7" x14ac:dyDescent="0.3">
      <c r="A94" s="61" t="s">
        <v>275</v>
      </c>
      <c r="B94" s="132"/>
      <c r="C94" s="134">
        <f>REVENUE!B65*C$28</f>
        <v>30999.78</v>
      </c>
      <c r="D94" s="134"/>
      <c r="E94" s="134"/>
      <c r="F94" s="134"/>
      <c r="G94" s="134"/>
    </row>
    <row r="95" spans="1:7" x14ac:dyDescent="0.3">
      <c r="A95" s="61" t="s">
        <v>276</v>
      </c>
      <c r="B95" s="132"/>
      <c r="C95" s="134">
        <f>REVENUE!B66*C$28</f>
        <v>30999.78</v>
      </c>
      <c r="D95" s="134"/>
      <c r="E95" s="134"/>
      <c r="F95" s="134"/>
      <c r="G95" s="134"/>
    </row>
    <row r="96" spans="1:7" x14ac:dyDescent="0.3">
      <c r="A96" s="61" t="s">
        <v>277</v>
      </c>
      <c r="B96" s="132"/>
      <c r="C96" s="134">
        <f>REVENUE!B67*C$28</f>
        <v>30999.78</v>
      </c>
      <c r="D96" s="134"/>
      <c r="E96" s="134"/>
      <c r="F96" s="134"/>
      <c r="G96" s="134"/>
    </row>
    <row r="97" spans="1:7" x14ac:dyDescent="0.3">
      <c r="A97" s="135" t="s">
        <v>281</v>
      </c>
      <c r="B97" s="132"/>
      <c r="C97" s="134">
        <f>REVENUE!B68*C$28</f>
        <v>92999.339999999982</v>
      </c>
      <c r="D97" s="136"/>
      <c r="E97" s="136"/>
      <c r="F97" s="136"/>
      <c r="G97" s="136"/>
    </row>
    <row r="98" spans="1:7" x14ac:dyDescent="0.3">
      <c r="A98" s="135" t="s">
        <v>282</v>
      </c>
      <c r="B98" s="132"/>
      <c r="C98" s="134">
        <f>REVENUE!B69*C$28</f>
        <v>371700</v>
      </c>
      <c r="D98" s="136"/>
      <c r="E98" s="136"/>
      <c r="F98" s="136"/>
      <c r="G98" s="136"/>
    </row>
    <row r="99" spans="1:7" x14ac:dyDescent="0.3">
      <c r="A99" s="132"/>
      <c r="B99" s="132"/>
      <c r="C99" s="132"/>
      <c r="D99" s="132"/>
      <c r="E99" s="132"/>
      <c r="F99" s="132"/>
      <c r="G99" s="132"/>
    </row>
    <row r="100" spans="1:7" x14ac:dyDescent="0.3">
      <c r="A100" s="130"/>
      <c r="B100" s="130"/>
      <c r="C100" s="130"/>
      <c r="D100" s="130"/>
      <c r="E100" s="130"/>
      <c r="F100" s="130"/>
      <c r="G100" s="130"/>
    </row>
    <row r="101" spans="1:7" x14ac:dyDescent="0.3">
      <c r="A101" s="130"/>
      <c r="B101" s="130"/>
      <c r="C101" s="130"/>
      <c r="D101" s="130"/>
      <c r="E101" s="130"/>
      <c r="F101" s="130"/>
      <c r="G101" s="130"/>
    </row>
    <row r="102" spans="1:7" x14ac:dyDescent="0.3">
      <c r="A102" s="130"/>
      <c r="B102" s="130"/>
      <c r="C102" s="130"/>
      <c r="D102" s="130"/>
      <c r="E102" s="130"/>
      <c r="F102" s="130"/>
      <c r="G102" s="130"/>
    </row>
    <row r="103" spans="1:7" x14ac:dyDescent="0.3">
      <c r="A103" s="130"/>
      <c r="B103" s="130"/>
      <c r="C103" s="130"/>
      <c r="D103" s="130"/>
      <c r="E103" s="130"/>
      <c r="F103" s="130"/>
      <c r="G103" s="130"/>
    </row>
  </sheetData>
  <sheetProtection algorithmName="SHA-512" hashValue="l/2LwJMOwTdo8ajrHnWPa0EjYGjAtx/pQv3phDCsUrFZq7Ci3n6Ex3bh+rczlPu9Fo8Moz/QxZCeuu/D8MWUfQ==" saltValue="/DmgLY15IZ1+aXhwHLgLaQ==" spinCount="100000" sheet="1" objects="1" scenarios="1"/>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67"/>
  <sheetViews>
    <sheetView zoomScale="82" zoomScaleNormal="82" workbookViewId="0">
      <selection activeCell="F40" sqref="F40"/>
    </sheetView>
  </sheetViews>
  <sheetFormatPr baseColWidth="10" defaultRowHeight="13.5" x14ac:dyDescent="0.3"/>
  <cols>
    <col min="1" max="1" width="32.6328125" style="2" customWidth="1"/>
    <col min="2" max="2" width="10.90625" style="2"/>
    <col min="3" max="3" width="13.1796875" style="2" bestFit="1" customWidth="1"/>
    <col min="4" max="7" width="11.90625" style="2" bestFit="1" customWidth="1"/>
    <col min="8" max="16384" width="10.90625" style="2"/>
  </cols>
  <sheetData>
    <row r="2" spans="1:7" x14ac:dyDescent="0.3">
      <c r="A2" s="1" t="s">
        <v>106</v>
      </c>
      <c r="C2" s="6"/>
      <c r="D2" s="6"/>
      <c r="E2" s="6" t="s">
        <v>1</v>
      </c>
      <c r="F2" s="6"/>
      <c r="G2" s="6"/>
    </row>
    <row r="3" spans="1:7" x14ac:dyDescent="0.3">
      <c r="C3" s="6">
        <v>1</v>
      </c>
      <c r="D3" s="6">
        <v>2</v>
      </c>
      <c r="E3" s="6">
        <v>3</v>
      </c>
      <c r="F3" s="6">
        <v>4</v>
      </c>
      <c r="G3" s="6">
        <v>5</v>
      </c>
    </row>
    <row r="4" spans="1:7" x14ac:dyDescent="0.3">
      <c r="A4" s="1" t="s">
        <v>107</v>
      </c>
    </row>
    <row r="5" spans="1:7" x14ac:dyDescent="0.3">
      <c r="A5" s="9" t="s">
        <v>108</v>
      </c>
      <c r="C5" s="7">
        <v>100</v>
      </c>
      <c r="D5" s="7"/>
      <c r="E5" s="7"/>
      <c r="F5" s="7"/>
      <c r="G5" s="7"/>
    </row>
    <row r="6" spans="1:7" x14ac:dyDescent="0.3">
      <c r="A6" s="9" t="s">
        <v>109</v>
      </c>
      <c r="C6" s="7">
        <v>100</v>
      </c>
      <c r="D6" s="7"/>
      <c r="E6" s="7"/>
      <c r="F6" s="7"/>
      <c r="G6" s="7"/>
    </row>
    <row r="7" spans="1:7" x14ac:dyDescent="0.3">
      <c r="A7" s="9" t="s">
        <v>110</v>
      </c>
      <c r="C7" s="7"/>
      <c r="D7" s="7"/>
      <c r="E7" s="7"/>
      <c r="F7" s="7"/>
      <c r="G7" s="7"/>
    </row>
    <row r="8" spans="1:7" x14ac:dyDescent="0.3">
      <c r="A8" s="9" t="s">
        <v>111</v>
      </c>
      <c r="C8" s="7"/>
      <c r="D8" s="7"/>
      <c r="E8" s="7"/>
      <c r="F8" s="7"/>
      <c r="G8" s="7"/>
    </row>
    <row r="9" spans="1:7" x14ac:dyDescent="0.3">
      <c r="A9" s="9" t="s">
        <v>112</v>
      </c>
      <c r="C9" s="7"/>
      <c r="D9" s="7"/>
      <c r="E9" s="7"/>
      <c r="F9" s="7"/>
      <c r="G9" s="7"/>
    </row>
    <row r="10" spans="1:7" x14ac:dyDescent="0.3">
      <c r="A10" s="3" t="s">
        <v>60</v>
      </c>
      <c r="C10" s="15">
        <f>SUM(C5:C9)</f>
        <v>200</v>
      </c>
      <c r="D10" s="15">
        <f t="shared" ref="D10:G10" si="0">SUM(D5:D9)</f>
        <v>0</v>
      </c>
      <c r="E10" s="15">
        <f t="shared" si="0"/>
        <v>0</v>
      </c>
      <c r="F10" s="15">
        <f t="shared" si="0"/>
        <v>0</v>
      </c>
      <c r="G10" s="15">
        <f t="shared" si="0"/>
        <v>0</v>
      </c>
    </row>
    <row r="11" spans="1:7" x14ac:dyDescent="0.3">
      <c r="A11" s="3"/>
      <c r="C11" s="15"/>
      <c r="D11" s="15"/>
      <c r="E11" s="15"/>
      <c r="F11" s="15"/>
      <c r="G11" s="15"/>
    </row>
    <row r="12" spans="1:7" x14ac:dyDescent="0.3">
      <c r="A12" s="1" t="s">
        <v>113</v>
      </c>
      <c r="C12" s="8"/>
      <c r="D12" s="8"/>
      <c r="E12" s="8"/>
      <c r="F12" s="8"/>
      <c r="G12" s="8"/>
    </row>
    <row r="13" spans="1:7" x14ac:dyDescent="0.3">
      <c r="A13" s="9" t="s">
        <v>114</v>
      </c>
      <c r="C13" s="7">
        <v>5000</v>
      </c>
      <c r="D13" s="7"/>
      <c r="E13" s="7"/>
      <c r="F13" s="7"/>
      <c r="G13" s="7"/>
    </row>
    <row r="14" spans="1:7" x14ac:dyDescent="0.3">
      <c r="A14" s="9" t="s">
        <v>115</v>
      </c>
      <c r="C14" s="7">
        <v>5000</v>
      </c>
      <c r="D14" s="7"/>
      <c r="E14" s="7"/>
      <c r="F14" s="7"/>
      <c r="G14" s="7"/>
    </row>
    <row r="15" spans="1:7" x14ac:dyDescent="0.3">
      <c r="A15" s="9" t="s">
        <v>38</v>
      </c>
      <c r="C15" s="7"/>
      <c r="D15" s="7"/>
      <c r="E15" s="7"/>
      <c r="F15" s="7"/>
      <c r="G15" s="7"/>
    </row>
    <row r="16" spans="1:7" x14ac:dyDescent="0.3">
      <c r="A16" s="9" t="s">
        <v>39</v>
      </c>
      <c r="C16" s="7"/>
      <c r="D16" s="7"/>
      <c r="E16" s="7"/>
      <c r="F16" s="7"/>
      <c r="G16" s="7"/>
    </row>
    <row r="17" spans="1:8" x14ac:dyDescent="0.3">
      <c r="A17" s="3" t="s">
        <v>60</v>
      </c>
      <c r="C17" s="15">
        <f>SUM(C13:C16)</f>
        <v>10000</v>
      </c>
      <c r="D17" s="15">
        <f t="shared" ref="D17:G17" si="1">SUM(D13:D16)</f>
        <v>0</v>
      </c>
      <c r="E17" s="15">
        <f t="shared" si="1"/>
        <v>0</v>
      </c>
      <c r="F17" s="15">
        <f t="shared" si="1"/>
        <v>0</v>
      </c>
      <c r="G17" s="15">
        <f t="shared" si="1"/>
        <v>0</v>
      </c>
    </row>
    <row r="18" spans="1:8" x14ac:dyDescent="0.3">
      <c r="A18" s="1" t="s">
        <v>190</v>
      </c>
      <c r="C18" s="23">
        <f>C10-C17</f>
        <v>-9800</v>
      </c>
      <c r="D18" s="23">
        <f t="shared" ref="D18:G18" si="2">D10-D17</f>
        <v>0</v>
      </c>
      <c r="E18" s="23">
        <f t="shared" si="2"/>
        <v>0</v>
      </c>
      <c r="F18" s="23">
        <f t="shared" si="2"/>
        <v>0</v>
      </c>
      <c r="G18" s="23">
        <f t="shared" si="2"/>
        <v>0</v>
      </c>
    </row>
    <row r="20" spans="1:8" x14ac:dyDescent="0.3">
      <c r="A20" s="10"/>
      <c r="B20" s="10"/>
      <c r="C20" s="10"/>
      <c r="D20" s="10"/>
      <c r="E20" s="10"/>
      <c r="F20" s="10"/>
      <c r="G20" s="10"/>
      <c r="H20" s="10"/>
    </row>
    <row r="21" spans="1:8" x14ac:dyDescent="0.3">
      <c r="A21" s="1" t="s">
        <v>300</v>
      </c>
      <c r="B21" s="10"/>
      <c r="C21" s="10"/>
      <c r="D21" s="4"/>
      <c r="E21" s="10"/>
      <c r="F21" s="10"/>
      <c r="G21" s="10"/>
      <c r="H21" s="10"/>
    </row>
    <row r="22" spans="1:8" x14ac:dyDescent="0.3">
      <c r="A22" s="10"/>
      <c r="B22" s="10"/>
      <c r="C22" s="11"/>
      <c r="D22" s="11"/>
      <c r="E22" s="11"/>
      <c r="F22" s="11"/>
      <c r="G22" s="11"/>
      <c r="H22" s="10"/>
    </row>
    <row r="23" spans="1:8" x14ac:dyDescent="0.3">
      <c r="A23" s="5" t="s">
        <v>266</v>
      </c>
      <c r="B23" s="10"/>
      <c r="C23" s="22">
        <v>-9800</v>
      </c>
      <c r="D23" s="16"/>
      <c r="E23" s="16"/>
      <c r="F23" s="16"/>
      <c r="G23" s="16"/>
      <c r="H23" s="10"/>
    </row>
    <row r="24" spans="1:8" x14ac:dyDescent="0.3">
      <c r="A24" s="5" t="s">
        <v>267</v>
      </c>
      <c r="B24" s="10"/>
      <c r="C24" s="18"/>
      <c r="D24" s="12"/>
      <c r="E24" s="12"/>
      <c r="F24" s="12"/>
      <c r="G24" s="12"/>
      <c r="H24" s="10"/>
    </row>
    <row r="25" spans="1:8" x14ac:dyDescent="0.3">
      <c r="A25" s="5" t="s">
        <v>268</v>
      </c>
      <c r="B25" s="10"/>
      <c r="C25" s="18"/>
      <c r="D25" s="12"/>
      <c r="E25" s="12"/>
      <c r="F25" s="12"/>
      <c r="G25" s="12"/>
      <c r="H25" s="10"/>
    </row>
    <row r="26" spans="1:8" x14ac:dyDescent="0.3">
      <c r="A26" s="17" t="s">
        <v>278</v>
      </c>
      <c r="B26" s="10"/>
      <c r="C26" s="20">
        <f>SUM(C23:C25)</f>
        <v>-9800</v>
      </c>
      <c r="D26" s="12"/>
      <c r="E26" s="12"/>
      <c r="F26" s="12"/>
      <c r="G26" s="12"/>
      <c r="H26" s="10"/>
    </row>
    <row r="27" spans="1:8" x14ac:dyDescent="0.3">
      <c r="A27" s="5" t="s">
        <v>269</v>
      </c>
      <c r="B27" s="10"/>
      <c r="C27" s="19"/>
      <c r="D27" s="14"/>
      <c r="E27" s="14"/>
      <c r="F27" s="14"/>
      <c r="G27" s="14"/>
      <c r="H27" s="10"/>
    </row>
    <row r="28" spans="1:8" x14ac:dyDescent="0.3">
      <c r="A28" s="5" t="s">
        <v>270</v>
      </c>
      <c r="B28" s="10"/>
      <c r="C28" s="18"/>
      <c r="D28" s="12"/>
      <c r="E28" s="12"/>
      <c r="F28" s="12"/>
      <c r="G28" s="12"/>
      <c r="H28" s="10"/>
    </row>
    <row r="29" spans="1:8" x14ac:dyDescent="0.3">
      <c r="A29" s="5" t="s">
        <v>271</v>
      </c>
      <c r="B29" s="10"/>
      <c r="C29" s="18"/>
      <c r="D29" s="12"/>
      <c r="E29" s="12"/>
      <c r="F29" s="12"/>
      <c r="G29" s="12"/>
      <c r="H29" s="10"/>
    </row>
    <row r="30" spans="1:8" x14ac:dyDescent="0.3">
      <c r="A30" s="17" t="s">
        <v>279</v>
      </c>
      <c r="B30" s="10"/>
      <c r="C30" s="20">
        <f>SUM(C27:C29)</f>
        <v>0</v>
      </c>
      <c r="D30" s="12"/>
      <c r="E30" s="12"/>
      <c r="F30" s="12"/>
      <c r="G30" s="12"/>
      <c r="H30" s="10"/>
    </row>
    <row r="31" spans="1:8" x14ac:dyDescent="0.3">
      <c r="A31" s="5" t="s">
        <v>272</v>
      </c>
      <c r="B31" s="10"/>
      <c r="C31" s="19"/>
      <c r="D31" s="14"/>
      <c r="E31" s="14"/>
      <c r="F31" s="14"/>
      <c r="G31" s="14"/>
      <c r="H31" s="10"/>
    </row>
    <row r="32" spans="1:8" x14ac:dyDescent="0.3">
      <c r="A32" s="5" t="s">
        <v>273</v>
      </c>
      <c r="B32" s="10"/>
      <c r="C32" s="18"/>
      <c r="D32" s="12"/>
      <c r="E32" s="12"/>
      <c r="F32" s="12"/>
      <c r="G32" s="12"/>
      <c r="H32" s="10"/>
    </row>
    <row r="33" spans="1:8" x14ac:dyDescent="0.3">
      <c r="A33" s="5" t="s">
        <v>274</v>
      </c>
      <c r="B33" s="10"/>
      <c r="C33" s="18"/>
      <c r="D33" s="12"/>
      <c r="E33" s="12"/>
      <c r="F33" s="12"/>
      <c r="G33" s="12"/>
      <c r="H33" s="10"/>
    </row>
    <row r="34" spans="1:8" x14ac:dyDescent="0.3">
      <c r="A34" s="17" t="s">
        <v>280</v>
      </c>
      <c r="B34" s="10"/>
      <c r="C34" s="20">
        <f>SUM(C31:C33)</f>
        <v>0</v>
      </c>
      <c r="D34" s="12"/>
      <c r="E34" s="12"/>
      <c r="F34" s="12"/>
      <c r="G34" s="12"/>
      <c r="H34" s="10"/>
    </row>
    <row r="35" spans="1:8" x14ac:dyDescent="0.3">
      <c r="A35" s="5" t="s">
        <v>275</v>
      </c>
      <c r="B35" s="10"/>
      <c r="C35" s="19"/>
      <c r="D35" s="14"/>
      <c r="E35" s="14"/>
      <c r="F35" s="14"/>
      <c r="G35" s="14"/>
      <c r="H35" s="10"/>
    </row>
    <row r="36" spans="1:8" x14ac:dyDescent="0.3">
      <c r="A36" s="5" t="s">
        <v>276</v>
      </c>
      <c r="B36" s="10"/>
      <c r="C36" s="18"/>
      <c r="D36" s="12"/>
      <c r="E36" s="12"/>
      <c r="F36" s="12"/>
      <c r="G36" s="12"/>
      <c r="H36" s="10"/>
    </row>
    <row r="37" spans="1:8" x14ac:dyDescent="0.3">
      <c r="A37" s="5" t="s">
        <v>277</v>
      </c>
      <c r="B37" s="10"/>
      <c r="C37" s="18"/>
      <c r="D37" s="12"/>
      <c r="E37" s="12"/>
      <c r="F37" s="12"/>
      <c r="G37" s="12"/>
      <c r="H37" s="10"/>
    </row>
    <row r="38" spans="1:8" x14ac:dyDescent="0.3">
      <c r="A38" s="17" t="s">
        <v>281</v>
      </c>
      <c r="B38" s="10"/>
      <c r="C38" s="20">
        <f>SUM(C35:C37)</f>
        <v>0</v>
      </c>
      <c r="D38" s="12"/>
      <c r="E38" s="12"/>
      <c r="F38" s="12"/>
      <c r="G38" s="12"/>
      <c r="H38" s="10"/>
    </row>
    <row r="39" spans="1:8" ht="14" thickBot="1" x14ac:dyDescent="0.35">
      <c r="A39" s="17" t="s">
        <v>282</v>
      </c>
      <c r="B39" s="10"/>
      <c r="C39" s="21">
        <f>SUM(C26,C30,C34,C38)</f>
        <v>-9800</v>
      </c>
      <c r="D39" s="14"/>
      <c r="E39" s="14"/>
      <c r="F39" s="14"/>
      <c r="G39" s="14"/>
      <c r="H39" s="10"/>
    </row>
    <row r="40" spans="1:8" ht="14" thickTop="1" x14ac:dyDescent="0.3">
      <c r="A40" s="13"/>
      <c r="B40" s="10"/>
      <c r="C40" s="14"/>
      <c r="D40" s="14"/>
      <c r="E40" s="14"/>
      <c r="F40" s="14"/>
      <c r="G40" s="14"/>
      <c r="H40" s="10"/>
    </row>
    <row r="41" spans="1:8" x14ac:dyDescent="0.3">
      <c r="A41" s="10"/>
      <c r="B41" s="10"/>
      <c r="C41" s="10"/>
      <c r="D41" s="10"/>
      <c r="E41" s="10"/>
      <c r="F41" s="10"/>
      <c r="G41" s="10"/>
      <c r="H41" s="10"/>
    </row>
    <row r="42" spans="1:8" x14ac:dyDescent="0.3">
      <c r="A42" s="10"/>
      <c r="B42" s="10"/>
      <c r="C42" s="10"/>
      <c r="D42" s="10"/>
      <c r="E42" s="10"/>
      <c r="F42" s="10"/>
      <c r="G42" s="10"/>
      <c r="H42" s="10"/>
    </row>
    <row r="43" spans="1:8" x14ac:dyDescent="0.3">
      <c r="A43" s="10"/>
      <c r="B43" s="10"/>
      <c r="C43" s="10"/>
      <c r="D43" s="10"/>
      <c r="E43" s="10"/>
      <c r="F43" s="10"/>
      <c r="G43" s="10"/>
      <c r="H43" s="10"/>
    </row>
    <row r="44" spans="1:8" x14ac:dyDescent="0.3">
      <c r="A44" s="10"/>
      <c r="B44" s="10"/>
      <c r="C44" s="10"/>
      <c r="D44" s="10"/>
      <c r="E44" s="10"/>
      <c r="F44" s="10"/>
      <c r="G44" s="10"/>
      <c r="H44" s="10"/>
    </row>
    <row r="45" spans="1:8" x14ac:dyDescent="0.3">
      <c r="A45" s="10"/>
      <c r="B45" s="10"/>
      <c r="C45" s="10"/>
      <c r="D45" s="10"/>
      <c r="E45" s="10"/>
      <c r="F45" s="10"/>
      <c r="G45" s="10"/>
      <c r="H45" s="10"/>
    </row>
    <row r="46" spans="1:8" x14ac:dyDescent="0.3">
      <c r="A46" s="10"/>
      <c r="B46" s="10"/>
      <c r="C46" s="10"/>
      <c r="D46" s="10"/>
      <c r="E46" s="10"/>
      <c r="F46" s="10"/>
      <c r="G46" s="10"/>
      <c r="H46" s="10"/>
    </row>
    <row r="47" spans="1:8" x14ac:dyDescent="0.3">
      <c r="A47" s="10"/>
      <c r="B47" s="10"/>
      <c r="C47" s="10"/>
      <c r="D47" s="10"/>
      <c r="E47" s="10"/>
      <c r="F47" s="10"/>
      <c r="G47" s="10"/>
      <c r="H47" s="10"/>
    </row>
    <row r="48" spans="1:8" x14ac:dyDescent="0.3">
      <c r="A48" s="10"/>
      <c r="B48" s="10"/>
      <c r="C48" s="10"/>
      <c r="D48" s="10"/>
      <c r="E48" s="10"/>
      <c r="F48" s="10"/>
      <c r="G48" s="10"/>
      <c r="H48" s="10"/>
    </row>
    <row r="49" spans="1:8" x14ac:dyDescent="0.3">
      <c r="A49" s="10"/>
      <c r="B49" s="10"/>
      <c r="C49" s="10"/>
      <c r="D49" s="10"/>
      <c r="E49" s="10"/>
      <c r="F49" s="10"/>
      <c r="G49" s="10"/>
      <c r="H49" s="10"/>
    </row>
    <row r="50" spans="1:8" x14ac:dyDescent="0.3">
      <c r="A50" s="10"/>
      <c r="B50" s="10"/>
      <c r="C50" s="10"/>
      <c r="D50" s="10"/>
      <c r="E50" s="10"/>
      <c r="F50" s="10"/>
      <c r="G50" s="10"/>
      <c r="H50" s="10"/>
    </row>
    <row r="51" spans="1:8" x14ac:dyDescent="0.3">
      <c r="A51" s="10"/>
      <c r="B51" s="10"/>
      <c r="C51" s="10"/>
      <c r="D51" s="10"/>
      <c r="E51" s="10"/>
      <c r="F51" s="10"/>
      <c r="G51" s="10"/>
      <c r="H51" s="10"/>
    </row>
    <row r="52" spans="1:8" x14ac:dyDescent="0.3">
      <c r="A52" s="10"/>
      <c r="B52" s="10"/>
      <c r="C52" s="10"/>
      <c r="D52" s="10"/>
      <c r="E52" s="10"/>
      <c r="F52" s="10"/>
      <c r="G52" s="10"/>
      <c r="H52" s="10"/>
    </row>
    <row r="53" spans="1:8" x14ac:dyDescent="0.3">
      <c r="A53" s="10"/>
      <c r="B53" s="10"/>
      <c r="C53" s="10"/>
      <c r="D53" s="10"/>
      <c r="E53" s="10"/>
      <c r="F53" s="10"/>
      <c r="G53" s="10"/>
      <c r="H53" s="10"/>
    </row>
    <row r="54" spans="1:8" x14ac:dyDescent="0.3">
      <c r="A54" s="10"/>
      <c r="B54" s="10"/>
      <c r="C54" s="10"/>
      <c r="D54" s="10"/>
      <c r="E54" s="10"/>
      <c r="F54" s="10"/>
      <c r="G54" s="10"/>
      <c r="H54" s="10"/>
    </row>
    <row r="55" spans="1:8" x14ac:dyDescent="0.3">
      <c r="A55" s="10"/>
      <c r="B55" s="10"/>
      <c r="C55" s="10"/>
      <c r="D55" s="10"/>
      <c r="E55" s="10"/>
      <c r="F55" s="10"/>
      <c r="G55" s="10"/>
      <c r="H55" s="10"/>
    </row>
    <row r="56" spans="1:8" x14ac:dyDescent="0.3">
      <c r="A56" s="10"/>
      <c r="B56" s="10"/>
      <c r="C56" s="10"/>
      <c r="D56" s="10"/>
      <c r="E56" s="10"/>
      <c r="F56" s="10"/>
      <c r="G56" s="10"/>
      <c r="H56" s="10"/>
    </row>
    <row r="57" spans="1:8" x14ac:dyDescent="0.3">
      <c r="A57" s="10"/>
      <c r="B57" s="10"/>
      <c r="C57" s="10"/>
      <c r="D57" s="10"/>
      <c r="E57" s="10"/>
      <c r="F57" s="10"/>
      <c r="G57" s="10"/>
      <c r="H57" s="10"/>
    </row>
    <row r="58" spans="1:8" x14ac:dyDescent="0.3">
      <c r="A58" s="10"/>
      <c r="B58" s="10"/>
      <c r="C58" s="10"/>
      <c r="D58" s="10"/>
      <c r="E58" s="10"/>
      <c r="F58" s="10"/>
      <c r="G58" s="10"/>
      <c r="H58" s="10"/>
    </row>
    <row r="59" spans="1:8" x14ac:dyDescent="0.3">
      <c r="A59" s="10"/>
      <c r="B59" s="10"/>
      <c r="C59" s="10"/>
      <c r="D59" s="10"/>
      <c r="E59" s="10"/>
      <c r="F59" s="10"/>
      <c r="G59" s="10"/>
      <c r="H59" s="10"/>
    </row>
    <row r="60" spans="1:8" x14ac:dyDescent="0.3">
      <c r="A60" s="10"/>
      <c r="B60" s="10"/>
      <c r="C60" s="10"/>
      <c r="D60" s="10"/>
      <c r="E60" s="10"/>
      <c r="F60" s="10"/>
      <c r="G60" s="10"/>
      <c r="H60" s="10"/>
    </row>
    <row r="61" spans="1:8" x14ac:dyDescent="0.3">
      <c r="A61" s="10"/>
      <c r="B61" s="10"/>
      <c r="C61" s="10"/>
      <c r="D61" s="10"/>
      <c r="E61" s="10"/>
      <c r="F61" s="10"/>
      <c r="G61" s="10"/>
      <c r="H61" s="10"/>
    </row>
    <row r="62" spans="1:8" x14ac:dyDescent="0.3">
      <c r="A62" s="10"/>
      <c r="B62" s="10"/>
      <c r="C62" s="10"/>
      <c r="D62" s="10"/>
      <c r="E62" s="10"/>
      <c r="F62" s="10"/>
      <c r="G62" s="10"/>
      <c r="H62" s="10"/>
    </row>
    <row r="63" spans="1:8" x14ac:dyDescent="0.3">
      <c r="A63" s="10"/>
      <c r="B63" s="10"/>
      <c r="C63" s="10"/>
      <c r="D63" s="10"/>
      <c r="E63" s="10"/>
      <c r="F63" s="10"/>
      <c r="G63" s="10"/>
      <c r="H63" s="10"/>
    </row>
    <row r="64" spans="1:8" x14ac:dyDescent="0.3">
      <c r="A64" s="10"/>
      <c r="B64" s="10"/>
      <c r="C64" s="10"/>
      <c r="D64" s="10"/>
      <c r="E64" s="10"/>
      <c r="F64" s="10"/>
      <c r="G64" s="10"/>
      <c r="H64" s="10"/>
    </row>
    <row r="65" spans="1:8" x14ac:dyDescent="0.3">
      <c r="A65" s="10"/>
      <c r="B65" s="10"/>
      <c r="C65" s="10"/>
      <c r="D65" s="10"/>
      <c r="E65" s="10"/>
      <c r="F65" s="10"/>
      <c r="G65" s="10"/>
      <c r="H65" s="10"/>
    </row>
    <row r="66" spans="1:8" x14ac:dyDescent="0.3">
      <c r="A66" s="10"/>
      <c r="B66" s="10"/>
      <c r="C66" s="10"/>
      <c r="D66" s="10"/>
      <c r="E66" s="10"/>
      <c r="F66" s="10"/>
      <c r="G66" s="10"/>
      <c r="H66" s="10"/>
    </row>
    <row r="67" spans="1:8" x14ac:dyDescent="0.3">
      <c r="A67" s="10"/>
      <c r="B67" s="10"/>
      <c r="C67" s="10"/>
      <c r="D67" s="10"/>
      <c r="E67" s="10"/>
      <c r="F67" s="10"/>
      <c r="G67" s="10"/>
      <c r="H67" s="10"/>
    </row>
  </sheetData>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L121"/>
  <sheetViews>
    <sheetView topLeftCell="A91" zoomScale="75" zoomScaleNormal="75" workbookViewId="0">
      <selection activeCell="I107" sqref="I107"/>
    </sheetView>
  </sheetViews>
  <sheetFormatPr baseColWidth="10" defaultRowHeight="13.5" x14ac:dyDescent="0.3"/>
  <cols>
    <col min="1" max="1" width="49.1796875" style="87" customWidth="1"/>
    <col min="2" max="2" width="10.1796875" style="87" customWidth="1"/>
    <col min="3" max="4" width="18.54296875" style="87" customWidth="1"/>
    <col min="5" max="5" width="18.1796875" style="87" customWidth="1"/>
    <col min="6" max="6" width="19.26953125" style="87" customWidth="1"/>
    <col min="7" max="7" width="18.453125" style="87" customWidth="1"/>
    <col min="8" max="16384" width="10.90625" style="87"/>
  </cols>
  <sheetData>
    <row r="2" spans="1:7" x14ac:dyDescent="0.3">
      <c r="A2" s="86" t="s">
        <v>61</v>
      </c>
      <c r="C2" s="88"/>
      <c r="D2" s="88"/>
      <c r="E2" s="88" t="s">
        <v>1</v>
      </c>
      <c r="F2" s="88"/>
      <c r="G2" s="88"/>
    </row>
    <row r="3" spans="1:7" x14ac:dyDescent="0.3">
      <c r="C3" s="88">
        <v>1</v>
      </c>
      <c r="D3" s="88">
        <v>2</v>
      </c>
      <c r="E3" s="88">
        <v>3</v>
      </c>
      <c r="F3" s="88">
        <v>4</v>
      </c>
      <c r="G3" s="88">
        <v>5</v>
      </c>
    </row>
    <row r="4" spans="1:7" x14ac:dyDescent="0.3">
      <c r="A4" s="86" t="s">
        <v>54</v>
      </c>
      <c r="C4" s="91"/>
      <c r="D4" s="91"/>
      <c r="E4" s="91"/>
      <c r="F4" s="91"/>
      <c r="G4" s="91"/>
    </row>
    <row r="5" spans="1:7" x14ac:dyDescent="0.3">
      <c r="A5" s="87" t="s">
        <v>62</v>
      </c>
      <c r="C5" s="100">
        <v>50000</v>
      </c>
      <c r="D5" s="100">
        <v>50000</v>
      </c>
      <c r="E5" s="100">
        <v>50000</v>
      </c>
      <c r="F5" s="100">
        <v>50000</v>
      </c>
      <c r="G5" s="100">
        <v>50000</v>
      </c>
    </row>
    <row r="6" spans="1:7" x14ac:dyDescent="0.3">
      <c r="A6" s="87" t="s">
        <v>63</v>
      </c>
      <c r="C6" s="100">
        <v>50000</v>
      </c>
      <c r="D6" s="100">
        <v>50000</v>
      </c>
      <c r="E6" s="100">
        <v>50000</v>
      </c>
      <c r="F6" s="100">
        <v>50000</v>
      </c>
      <c r="G6" s="100">
        <v>50000</v>
      </c>
    </row>
    <row r="7" spans="1:7" x14ac:dyDescent="0.3">
      <c r="A7" s="87" t="s">
        <v>64</v>
      </c>
      <c r="C7" s="100"/>
      <c r="D7" s="100">
        <v>50000</v>
      </c>
      <c r="E7" s="100">
        <v>50000</v>
      </c>
      <c r="F7" s="100">
        <v>50000</v>
      </c>
      <c r="G7" s="100">
        <v>50000</v>
      </c>
    </row>
    <row r="8" spans="1:7" x14ac:dyDescent="0.3">
      <c r="A8" s="87" t="s">
        <v>65</v>
      </c>
      <c r="C8" s="100"/>
      <c r="D8" s="100">
        <v>50000</v>
      </c>
      <c r="E8" s="100">
        <v>50000</v>
      </c>
      <c r="F8" s="100">
        <v>50000</v>
      </c>
      <c r="G8" s="100">
        <v>50000</v>
      </c>
    </row>
    <row r="9" spans="1:7" x14ac:dyDescent="0.3">
      <c r="A9" s="87" t="s">
        <v>66</v>
      </c>
      <c r="C9" s="100"/>
      <c r="D9" s="100">
        <v>35000</v>
      </c>
      <c r="E9" s="100">
        <v>35000</v>
      </c>
      <c r="F9" s="100">
        <v>35000</v>
      </c>
      <c r="G9" s="100">
        <v>35000</v>
      </c>
    </row>
    <row r="10" spans="1:7" x14ac:dyDescent="0.3">
      <c r="A10" s="87" t="s">
        <v>67</v>
      </c>
      <c r="C10" s="100"/>
      <c r="D10" s="100">
        <v>28000</v>
      </c>
      <c r="E10" s="100">
        <v>28000</v>
      </c>
      <c r="F10" s="100">
        <v>28000</v>
      </c>
      <c r="G10" s="100">
        <v>28000</v>
      </c>
    </row>
    <row r="11" spans="1:7" x14ac:dyDescent="0.3">
      <c r="A11" s="87" t="s">
        <v>38</v>
      </c>
      <c r="C11" s="100"/>
      <c r="D11" s="100">
        <v>10000</v>
      </c>
      <c r="E11" s="100">
        <v>10000</v>
      </c>
      <c r="F11" s="100">
        <v>10000</v>
      </c>
      <c r="G11" s="100">
        <v>10000</v>
      </c>
    </row>
    <row r="12" spans="1:7" x14ac:dyDescent="0.3">
      <c r="A12" s="87" t="s">
        <v>39</v>
      </c>
      <c r="C12" s="100"/>
      <c r="D12" s="100">
        <v>10000</v>
      </c>
      <c r="E12" s="100">
        <v>10000</v>
      </c>
      <c r="F12" s="100">
        <v>10000</v>
      </c>
      <c r="G12" s="100">
        <v>10000</v>
      </c>
    </row>
    <row r="13" spans="1:7" x14ac:dyDescent="0.3">
      <c r="A13" s="103" t="s">
        <v>68</v>
      </c>
      <c r="C13" s="33">
        <f>SUM(C5:C12)</f>
        <v>100000</v>
      </c>
      <c r="D13" s="33">
        <f t="shared" ref="D13:G13" si="0">SUM(D5:D12)</f>
        <v>283000</v>
      </c>
      <c r="E13" s="33">
        <f t="shared" si="0"/>
        <v>283000</v>
      </c>
      <c r="F13" s="33">
        <f t="shared" si="0"/>
        <v>283000</v>
      </c>
      <c r="G13" s="33">
        <f t="shared" si="0"/>
        <v>283000</v>
      </c>
    </row>
    <row r="14" spans="1:7" x14ac:dyDescent="0.3">
      <c r="A14" s="87" t="s">
        <v>69</v>
      </c>
      <c r="B14" s="117">
        <v>0.02</v>
      </c>
      <c r="C14" s="33">
        <f>C13*$B$14</f>
        <v>2000</v>
      </c>
      <c r="D14" s="33">
        <f t="shared" ref="D14:G14" si="1">D13*$B$14</f>
        <v>5660</v>
      </c>
      <c r="E14" s="33">
        <f t="shared" si="1"/>
        <v>5660</v>
      </c>
      <c r="F14" s="33">
        <f t="shared" si="1"/>
        <v>5660</v>
      </c>
      <c r="G14" s="33">
        <f t="shared" si="1"/>
        <v>5660</v>
      </c>
    </row>
    <row r="15" spans="1:7" x14ac:dyDescent="0.3">
      <c r="A15" s="86" t="s">
        <v>70</v>
      </c>
      <c r="B15" s="86"/>
      <c r="C15" s="35">
        <f>SUM(C13:C14)</f>
        <v>102000</v>
      </c>
      <c r="D15" s="35">
        <f t="shared" ref="D15:G15" si="2">SUM(D13:D14)</f>
        <v>288660</v>
      </c>
      <c r="E15" s="35">
        <f t="shared" si="2"/>
        <v>288660</v>
      </c>
      <c r="F15" s="35">
        <f t="shared" si="2"/>
        <v>288660</v>
      </c>
      <c r="G15" s="35">
        <f t="shared" si="2"/>
        <v>288660</v>
      </c>
    </row>
    <row r="16" spans="1:7" x14ac:dyDescent="0.3">
      <c r="A16" s="115" t="s">
        <v>31</v>
      </c>
      <c r="B16" s="92"/>
      <c r="C16" s="122">
        <f>C15/REVENUE!$B$25</f>
        <v>3.4113712374581939E-2</v>
      </c>
      <c r="D16" s="122">
        <f>D15/REVENUE!$B$25</f>
        <v>9.6541806020066886E-2</v>
      </c>
      <c r="E16" s="122">
        <f>E15/REVENUE!$B$25</f>
        <v>9.6541806020066886E-2</v>
      </c>
      <c r="F16" s="122">
        <f>F15/REVENUE!$B$25</f>
        <v>9.6541806020066886E-2</v>
      </c>
      <c r="G16" s="122">
        <f>G15/REVENUE!$B$25</f>
        <v>9.6541806020066886E-2</v>
      </c>
    </row>
    <row r="18" spans="1:12" x14ac:dyDescent="0.3">
      <c r="A18" s="86" t="s">
        <v>42</v>
      </c>
    </row>
    <row r="19" spans="1:12" x14ac:dyDescent="0.3">
      <c r="A19" s="87" t="s">
        <v>71</v>
      </c>
      <c r="C19" s="100">
        <v>45000</v>
      </c>
      <c r="D19" s="100">
        <v>45000</v>
      </c>
      <c r="E19" s="100">
        <v>45000</v>
      </c>
      <c r="F19" s="100">
        <v>45000</v>
      </c>
      <c r="G19" s="100">
        <v>45000</v>
      </c>
    </row>
    <row r="20" spans="1:12" x14ac:dyDescent="0.3">
      <c r="A20" s="87" t="s">
        <v>72</v>
      </c>
      <c r="C20" s="100">
        <v>45000</v>
      </c>
      <c r="D20" s="100">
        <v>45000</v>
      </c>
      <c r="E20" s="100">
        <v>45000</v>
      </c>
      <c r="F20" s="100">
        <v>45000</v>
      </c>
      <c r="G20" s="100">
        <v>45000</v>
      </c>
    </row>
    <row r="21" spans="1:12" x14ac:dyDescent="0.3">
      <c r="A21" s="87" t="s">
        <v>73</v>
      </c>
      <c r="C21" s="100">
        <v>45000</v>
      </c>
      <c r="D21" s="100">
        <v>45000</v>
      </c>
      <c r="E21" s="100">
        <v>45000</v>
      </c>
      <c r="F21" s="100">
        <v>45000</v>
      </c>
      <c r="G21" s="100">
        <v>45000</v>
      </c>
      <c r="L21" s="42"/>
    </row>
    <row r="22" spans="1:12" x14ac:dyDescent="0.3">
      <c r="A22" s="87" t="s">
        <v>74</v>
      </c>
      <c r="C22" s="100">
        <v>45000</v>
      </c>
      <c r="D22" s="100">
        <v>45000</v>
      </c>
      <c r="E22" s="100">
        <v>45000</v>
      </c>
      <c r="F22" s="100">
        <v>45000</v>
      </c>
      <c r="G22" s="100">
        <v>45000</v>
      </c>
    </row>
    <row r="23" spans="1:12" x14ac:dyDescent="0.3">
      <c r="A23" s="87" t="s">
        <v>38</v>
      </c>
      <c r="C23" s="100">
        <v>28000</v>
      </c>
      <c r="D23" s="100">
        <v>28000</v>
      </c>
      <c r="E23" s="100">
        <v>28000</v>
      </c>
      <c r="F23" s="100">
        <v>28000</v>
      </c>
      <c r="G23" s="100">
        <v>28000</v>
      </c>
    </row>
    <row r="24" spans="1:12" x14ac:dyDescent="0.3">
      <c r="A24" s="87" t="s">
        <v>39</v>
      </c>
      <c r="C24" s="100">
        <v>28000</v>
      </c>
      <c r="D24" s="100">
        <v>28000</v>
      </c>
      <c r="E24" s="100">
        <v>28000</v>
      </c>
      <c r="F24" s="100">
        <v>28000</v>
      </c>
      <c r="G24" s="100">
        <v>28000</v>
      </c>
    </row>
    <row r="25" spans="1:12" x14ac:dyDescent="0.3">
      <c r="A25" s="87" t="s">
        <v>75</v>
      </c>
      <c r="C25" s="100">
        <v>28000</v>
      </c>
      <c r="D25" s="100">
        <v>28000</v>
      </c>
      <c r="E25" s="100">
        <v>28000</v>
      </c>
      <c r="F25" s="100">
        <v>28000</v>
      </c>
      <c r="G25" s="100">
        <v>28000</v>
      </c>
    </row>
    <row r="26" spans="1:12" x14ac:dyDescent="0.3">
      <c r="A26" s="103" t="s">
        <v>76</v>
      </c>
      <c r="C26" s="33">
        <f>SUM(C19:C25)</f>
        <v>264000</v>
      </c>
      <c r="D26" s="33">
        <f t="shared" ref="D26:G26" si="3">SUM(D19:D25)</f>
        <v>264000</v>
      </c>
      <c r="E26" s="33">
        <f t="shared" si="3"/>
        <v>264000</v>
      </c>
      <c r="F26" s="33">
        <f t="shared" si="3"/>
        <v>264000</v>
      </c>
      <c r="G26" s="33">
        <f t="shared" si="3"/>
        <v>264000</v>
      </c>
    </row>
    <row r="27" spans="1:12" x14ac:dyDescent="0.3">
      <c r="A27" s="87" t="s">
        <v>69</v>
      </c>
      <c r="B27" s="117">
        <v>0.1</v>
      </c>
      <c r="C27" s="33">
        <f>C26*$B$27</f>
        <v>26400</v>
      </c>
      <c r="D27" s="33">
        <f t="shared" ref="D27:G27" si="4">D26*$B$27</f>
        <v>26400</v>
      </c>
      <c r="E27" s="33">
        <f t="shared" si="4"/>
        <v>26400</v>
      </c>
      <c r="F27" s="33">
        <f t="shared" si="4"/>
        <v>26400</v>
      </c>
      <c r="G27" s="33">
        <f t="shared" si="4"/>
        <v>26400</v>
      </c>
    </row>
    <row r="28" spans="1:12" x14ac:dyDescent="0.3">
      <c r="A28" s="86" t="s">
        <v>70</v>
      </c>
      <c r="B28" s="86"/>
      <c r="C28" s="35">
        <f>SUM(C26:C27)</f>
        <v>290400</v>
      </c>
      <c r="D28" s="35">
        <f t="shared" ref="D28:G28" si="5">SUM(D26:D27)</f>
        <v>290400</v>
      </c>
      <c r="E28" s="35">
        <f t="shared" si="5"/>
        <v>290400</v>
      </c>
      <c r="F28" s="35">
        <f t="shared" si="5"/>
        <v>290400</v>
      </c>
      <c r="G28" s="35">
        <f t="shared" si="5"/>
        <v>290400</v>
      </c>
    </row>
    <row r="29" spans="1:12" x14ac:dyDescent="0.3">
      <c r="A29" s="115" t="s">
        <v>31</v>
      </c>
      <c r="B29" s="42"/>
      <c r="C29" s="123">
        <f>C28/REVENUE!$B$25</f>
        <v>9.7123745819397991E-2</v>
      </c>
      <c r="D29" s="123">
        <f>D28/REVENUE!$B$25</f>
        <v>9.7123745819397991E-2</v>
      </c>
      <c r="E29" s="123">
        <f>E28/REVENUE!$B$25</f>
        <v>9.7123745819397991E-2</v>
      </c>
      <c r="F29" s="123">
        <f>F28/REVENUE!$B$25</f>
        <v>9.7123745819397991E-2</v>
      </c>
      <c r="G29" s="123">
        <f>G28/REVENUE!$B$25</f>
        <v>9.7123745819397991E-2</v>
      </c>
    </row>
    <row r="31" spans="1:12" x14ac:dyDescent="0.3">
      <c r="A31" s="86" t="s">
        <v>46</v>
      </c>
    </row>
    <row r="32" spans="1:12" x14ac:dyDescent="0.3">
      <c r="A32" s="87" t="s">
        <v>77</v>
      </c>
      <c r="C32" s="100">
        <v>45000</v>
      </c>
      <c r="D32" s="100">
        <v>45000</v>
      </c>
      <c r="E32" s="100">
        <v>45000</v>
      </c>
      <c r="F32" s="100">
        <v>45000</v>
      </c>
      <c r="G32" s="100">
        <v>45000</v>
      </c>
    </row>
    <row r="33" spans="1:7" x14ac:dyDescent="0.3">
      <c r="A33" s="87" t="s">
        <v>78</v>
      </c>
      <c r="C33" s="100">
        <v>45000</v>
      </c>
      <c r="D33" s="100">
        <v>45000</v>
      </c>
      <c r="E33" s="100">
        <v>45000</v>
      </c>
      <c r="F33" s="100">
        <v>45000</v>
      </c>
      <c r="G33" s="100">
        <v>45000</v>
      </c>
    </row>
    <row r="34" spans="1:7" x14ac:dyDescent="0.3">
      <c r="A34" s="87" t="s">
        <v>38</v>
      </c>
      <c r="C34" s="100">
        <v>28000</v>
      </c>
      <c r="D34" s="100">
        <v>28000</v>
      </c>
      <c r="E34" s="100">
        <v>28000</v>
      </c>
      <c r="F34" s="100">
        <v>28000</v>
      </c>
      <c r="G34" s="100">
        <v>28000</v>
      </c>
    </row>
    <row r="35" spans="1:7" x14ac:dyDescent="0.3">
      <c r="A35" s="87" t="s">
        <v>39</v>
      </c>
      <c r="C35" s="100">
        <v>28000</v>
      </c>
      <c r="D35" s="100">
        <v>28000</v>
      </c>
      <c r="E35" s="100">
        <v>28000</v>
      </c>
      <c r="F35" s="100">
        <v>28000</v>
      </c>
      <c r="G35" s="100">
        <v>28000</v>
      </c>
    </row>
    <row r="36" spans="1:7" x14ac:dyDescent="0.3">
      <c r="A36" s="87" t="s">
        <v>75</v>
      </c>
      <c r="C36" s="100">
        <v>28000</v>
      </c>
      <c r="D36" s="100">
        <v>28000</v>
      </c>
      <c r="E36" s="100">
        <v>28000</v>
      </c>
      <c r="F36" s="100">
        <v>28000</v>
      </c>
      <c r="G36" s="100">
        <v>28000</v>
      </c>
    </row>
    <row r="37" spans="1:7" x14ac:dyDescent="0.3">
      <c r="A37" s="87" t="s">
        <v>79</v>
      </c>
      <c r="C37" s="100">
        <v>28000</v>
      </c>
      <c r="D37" s="100">
        <v>28000</v>
      </c>
      <c r="E37" s="100">
        <v>28000</v>
      </c>
      <c r="F37" s="100">
        <v>28000</v>
      </c>
      <c r="G37" s="100">
        <v>28000</v>
      </c>
    </row>
    <row r="38" spans="1:7" x14ac:dyDescent="0.3">
      <c r="A38" s="103" t="s">
        <v>76</v>
      </c>
      <c r="C38" s="33">
        <f>SUM(C32:C37)</f>
        <v>202000</v>
      </c>
      <c r="D38" s="33">
        <f t="shared" ref="D38:G38" si="6">SUM(D32:D37)</f>
        <v>202000</v>
      </c>
      <c r="E38" s="33">
        <f t="shared" si="6"/>
        <v>202000</v>
      </c>
      <c r="F38" s="33">
        <f t="shared" si="6"/>
        <v>202000</v>
      </c>
      <c r="G38" s="33">
        <f t="shared" si="6"/>
        <v>202000</v>
      </c>
    </row>
    <row r="39" spans="1:7" x14ac:dyDescent="0.3">
      <c r="A39" s="87" t="s">
        <v>69</v>
      </c>
      <c r="B39" s="117">
        <v>0.1</v>
      </c>
      <c r="C39" s="33">
        <f>C38*$B$39</f>
        <v>20200</v>
      </c>
      <c r="D39" s="33">
        <f t="shared" ref="D39:G39" si="7">D38*$B$39</f>
        <v>20200</v>
      </c>
      <c r="E39" s="33">
        <f t="shared" si="7"/>
        <v>20200</v>
      </c>
      <c r="F39" s="33">
        <f t="shared" si="7"/>
        <v>20200</v>
      </c>
      <c r="G39" s="33">
        <f t="shared" si="7"/>
        <v>20200</v>
      </c>
    </row>
    <row r="40" spans="1:7" x14ac:dyDescent="0.3">
      <c r="A40" s="45" t="s">
        <v>70</v>
      </c>
      <c r="B40" s="42"/>
      <c r="C40" s="35">
        <f>SUM(C38:C39)</f>
        <v>222200</v>
      </c>
      <c r="D40" s="35">
        <f t="shared" ref="D40:G40" si="8">SUM(D38:D39)</f>
        <v>222200</v>
      </c>
      <c r="E40" s="35">
        <f t="shared" si="8"/>
        <v>222200</v>
      </c>
      <c r="F40" s="35">
        <f t="shared" si="8"/>
        <v>222200</v>
      </c>
      <c r="G40" s="35">
        <f t="shared" si="8"/>
        <v>222200</v>
      </c>
    </row>
    <row r="41" spans="1:7" x14ac:dyDescent="0.3">
      <c r="A41" s="115" t="s">
        <v>31</v>
      </c>
      <c r="B41" s="42"/>
      <c r="C41" s="124">
        <f>C40/REVENUE!$B$25</f>
        <v>7.4314381270903007E-2</v>
      </c>
      <c r="D41" s="124">
        <f>D40/REVENUE!$B$25</f>
        <v>7.4314381270903007E-2</v>
      </c>
      <c r="E41" s="124">
        <f>E40/REVENUE!$B$25</f>
        <v>7.4314381270903007E-2</v>
      </c>
      <c r="F41" s="124">
        <f>F40/REVENUE!$B$25</f>
        <v>7.4314381270903007E-2</v>
      </c>
      <c r="G41" s="124">
        <f>G40/REVENUE!$B$25</f>
        <v>7.4314381270903007E-2</v>
      </c>
    </row>
    <row r="44" spans="1:7" x14ac:dyDescent="0.3">
      <c r="A44" s="86" t="s">
        <v>15</v>
      </c>
    </row>
    <row r="45" spans="1:7" x14ac:dyDescent="0.3">
      <c r="A45" s="118" t="s">
        <v>80</v>
      </c>
      <c r="B45" s="119"/>
      <c r="C45" s="119"/>
      <c r="D45" s="119"/>
      <c r="E45" s="119"/>
      <c r="F45" s="119"/>
      <c r="G45" s="119"/>
    </row>
    <row r="46" spans="1:7" x14ac:dyDescent="0.3">
      <c r="A46" s="102" t="s">
        <v>81</v>
      </c>
      <c r="C46" s="100">
        <v>30000</v>
      </c>
      <c r="D46" s="100">
        <v>30000</v>
      </c>
      <c r="E46" s="100">
        <v>30000</v>
      </c>
      <c r="F46" s="100">
        <v>30000</v>
      </c>
      <c r="G46" s="100">
        <v>30000</v>
      </c>
    </row>
    <row r="47" spans="1:7" x14ac:dyDescent="0.3">
      <c r="A47" s="102" t="s">
        <v>82</v>
      </c>
      <c r="C47" s="100"/>
      <c r="D47" s="100"/>
      <c r="E47" s="100">
        <v>30000</v>
      </c>
      <c r="F47" s="100">
        <v>30000</v>
      </c>
      <c r="G47" s="100">
        <v>30000</v>
      </c>
    </row>
    <row r="48" spans="1:7" x14ac:dyDescent="0.3">
      <c r="A48" s="102" t="s">
        <v>38</v>
      </c>
      <c r="C48" s="100"/>
      <c r="D48" s="100"/>
      <c r="E48" s="100">
        <v>29000</v>
      </c>
      <c r="F48" s="100">
        <v>29000</v>
      </c>
      <c r="G48" s="100">
        <v>29000</v>
      </c>
    </row>
    <row r="49" spans="1:7" x14ac:dyDescent="0.3">
      <c r="A49" s="102" t="s">
        <v>39</v>
      </c>
      <c r="C49" s="100"/>
      <c r="D49" s="100"/>
      <c r="E49" s="100">
        <v>29000</v>
      </c>
      <c r="F49" s="100">
        <v>29000</v>
      </c>
      <c r="G49" s="100">
        <v>29000</v>
      </c>
    </row>
    <row r="50" spans="1:7" x14ac:dyDescent="0.3">
      <c r="A50" s="103" t="s">
        <v>76</v>
      </c>
      <c r="C50" s="33">
        <f>SUM(C46:C49)</f>
        <v>30000</v>
      </c>
      <c r="D50" s="33">
        <f t="shared" ref="D50:G50" si="9">SUM(D46:D49)</f>
        <v>30000</v>
      </c>
      <c r="E50" s="33">
        <f t="shared" si="9"/>
        <v>118000</v>
      </c>
      <c r="F50" s="33">
        <f t="shared" si="9"/>
        <v>118000</v>
      </c>
      <c r="G50" s="33">
        <f t="shared" si="9"/>
        <v>118000</v>
      </c>
    </row>
    <row r="51" spans="1:7" x14ac:dyDescent="0.3">
      <c r="A51" s="103" t="s">
        <v>69</v>
      </c>
      <c r="B51" s="117">
        <v>0.1</v>
      </c>
      <c r="C51" s="33">
        <f>C50*$B$51</f>
        <v>3000</v>
      </c>
      <c r="D51" s="33">
        <f t="shared" ref="D51:G51" si="10">D50*$B$51</f>
        <v>3000</v>
      </c>
      <c r="E51" s="33">
        <f t="shared" si="10"/>
        <v>11800</v>
      </c>
      <c r="F51" s="33">
        <f t="shared" si="10"/>
        <v>11800</v>
      </c>
      <c r="G51" s="33">
        <f t="shared" si="10"/>
        <v>11800</v>
      </c>
    </row>
    <row r="52" spans="1:7" x14ac:dyDescent="0.3">
      <c r="A52" s="54" t="s">
        <v>70</v>
      </c>
      <c r="B52" s="42"/>
      <c r="C52" s="125">
        <f>SUM(C50:C51)</f>
        <v>33000</v>
      </c>
      <c r="D52" s="125">
        <f t="shared" ref="D52:G52" si="11">SUM(D50:D51)</f>
        <v>33000</v>
      </c>
      <c r="E52" s="125">
        <f t="shared" si="11"/>
        <v>129800</v>
      </c>
      <c r="F52" s="125">
        <f t="shared" si="11"/>
        <v>129800</v>
      </c>
      <c r="G52" s="125">
        <f t="shared" si="11"/>
        <v>129800</v>
      </c>
    </row>
    <row r="54" spans="1:7" x14ac:dyDescent="0.3">
      <c r="A54" s="104" t="s">
        <v>91</v>
      </c>
    </row>
    <row r="55" spans="1:7" x14ac:dyDescent="0.3">
      <c r="A55" s="87" t="s">
        <v>83</v>
      </c>
      <c r="C55" s="101">
        <v>1</v>
      </c>
      <c r="D55" s="101">
        <v>3</v>
      </c>
      <c r="E55" s="101">
        <v>4</v>
      </c>
      <c r="F55" s="101">
        <v>5</v>
      </c>
      <c r="G55" s="101">
        <v>6</v>
      </c>
    </row>
    <row r="56" spans="1:7" x14ac:dyDescent="0.3">
      <c r="A56" s="87" t="s">
        <v>84</v>
      </c>
      <c r="C56" s="100">
        <v>10000</v>
      </c>
      <c r="D56" s="100">
        <v>15000</v>
      </c>
      <c r="E56" s="100">
        <v>16000</v>
      </c>
      <c r="F56" s="100">
        <v>17000</v>
      </c>
      <c r="G56" s="100">
        <v>20000</v>
      </c>
    </row>
    <row r="57" spans="1:7" x14ac:dyDescent="0.3">
      <c r="A57" s="87" t="s">
        <v>85</v>
      </c>
      <c r="C57" s="33">
        <f>C55*C56</f>
        <v>10000</v>
      </c>
      <c r="D57" s="33">
        <f t="shared" ref="D57:G57" si="12">D55*D56</f>
        <v>45000</v>
      </c>
      <c r="E57" s="33">
        <f t="shared" si="12"/>
        <v>64000</v>
      </c>
      <c r="F57" s="33">
        <f t="shared" si="12"/>
        <v>85000</v>
      </c>
      <c r="G57" s="33">
        <f t="shared" si="12"/>
        <v>120000</v>
      </c>
    </row>
    <row r="58" spans="1:7" x14ac:dyDescent="0.3">
      <c r="A58" s="103" t="s">
        <v>96</v>
      </c>
      <c r="B58" s="117">
        <v>0.05</v>
      </c>
      <c r="C58" s="33">
        <f>C57*$B$58</f>
        <v>500</v>
      </c>
      <c r="D58" s="33">
        <f t="shared" ref="D58:G58" si="13">D57*$B$58</f>
        <v>2250</v>
      </c>
      <c r="E58" s="33">
        <f t="shared" si="13"/>
        <v>3200</v>
      </c>
      <c r="F58" s="33">
        <f t="shared" si="13"/>
        <v>4250</v>
      </c>
      <c r="G58" s="33">
        <f t="shared" si="13"/>
        <v>6000</v>
      </c>
    </row>
    <row r="59" spans="1:7" ht="14" thickBot="1" x14ac:dyDescent="0.35">
      <c r="A59" s="127" t="s">
        <v>93</v>
      </c>
      <c r="B59" s="128"/>
      <c r="C59" s="126">
        <f>SUM(C52,C57,C58)</f>
        <v>43500</v>
      </c>
      <c r="D59" s="126">
        <f t="shared" ref="D59:G59" si="14">SUM(D52,D57,D58)</f>
        <v>80250</v>
      </c>
      <c r="E59" s="126">
        <f t="shared" si="14"/>
        <v>197000</v>
      </c>
      <c r="F59" s="126">
        <f t="shared" si="14"/>
        <v>219050</v>
      </c>
      <c r="G59" s="126">
        <f t="shared" si="14"/>
        <v>255800</v>
      </c>
    </row>
    <row r="61" spans="1:7" x14ac:dyDescent="0.3">
      <c r="A61" s="118" t="s">
        <v>86</v>
      </c>
      <c r="B61" s="119"/>
      <c r="C61" s="119"/>
      <c r="D61" s="119"/>
      <c r="E61" s="119"/>
      <c r="F61" s="119"/>
      <c r="G61" s="119"/>
    </row>
    <row r="62" spans="1:7" x14ac:dyDescent="0.3">
      <c r="A62" s="102" t="s">
        <v>87</v>
      </c>
      <c r="C62" s="100">
        <v>30000</v>
      </c>
      <c r="D62" s="100">
        <v>30000</v>
      </c>
      <c r="E62" s="100">
        <v>60000</v>
      </c>
      <c r="F62" s="100">
        <v>70000</v>
      </c>
      <c r="G62" s="100">
        <v>70000</v>
      </c>
    </row>
    <row r="63" spans="1:7" x14ac:dyDescent="0.3">
      <c r="A63" s="102" t="s">
        <v>82</v>
      </c>
      <c r="C63" s="100">
        <v>30000</v>
      </c>
      <c r="D63" s="100">
        <v>30000</v>
      </c>
      <c r="E63" s="100">
        <v>40000</v>
      </c>
      <c r="F63" s="100">
        <v>50000</v>
      </c>
      <c r="G63" s="100">
        <v>60000</v>
      </c>
    </row>
    <row r="64" spans="1:7" x14ac:dyDescent="0.3">
      <c r="A64" s="102" t="s">
        <v>38</v>
      </c>
      <c r="C64" s="100"/>
      <c r="D64" s="100"/>
      <c r="E64" s="100">
        <v>29000</v>
      </c>
      <c r="F64" s="100">
        <v>29000</v>
      </c>
      <c r="G64" s="100">
        <v>29000</v>
      </c>
    </row>
    <row r="65" spans="1:7" x14ac:dyDescent="0.3">
      <c r="A65" s="102" t="s">
        <v>39</v>
      </c>
      <c r="C65" s="100"/>
      <c r="D65" s="100"/>
      <c r="E65" s="100">
        <v>29000</v>
      </c>
      <c r="F65" s="100">
        <v>29000</v>
      </c>
      <c r="G65" s="100">
        <v>29000</v>
      </c>
    </row>
    <row r="66" spans="1:7" x14ac:dyDescent="0.3">
      <c r="A66" s="103" t="s">
        <v>76</v>
      </c>
      <c r="C66" s="33">
        <f>SUM(C62:C65)</f>
        <v>60000</v>
      </c>
      <c r="D66" s="33">
        <f t="shared" ref="D66" si="15">SUM(D62:D65)</f>
        <v>60000</v>
      </c>
      <c r="E66" s="33">
        <f t="shared" ref="E66" si="16">SUM(E62:E65)</f>
        <v>158000</v>
      </c>
      <c r="F66" s="33">
        <f t="shared" ref="F66" si="17">SUM(F62:F65)</f>
        <v>178000</v>
      </c>
      <c r="G66" s="33">
        <f t="shared" ref="G66" si="18">SUM(G62:G65)</f>
        <v>188000</v>
      </c>
    </row>
    <row r="67" spans="1:7" x14ac:dyDescent="0.3">
      <c r="A67" s="103" t="s">
        <v>69</v>
      </c>
      <c r="B67" s="96">
        <v>0.1</v>
      </c>
      <c r="C67" s="33">
        <f>C66*$B$67</f>
        <v>6000</v>
      </c>
      <c r="D67" s="33">
        <f t="shared" ref="D67:G67" si="19">D66*$B$67</f>
        <v>6000</v>
      </c>
      <c r="E67" s="33">
        <f t="shared" si="19"/>
        <v>15800</v>
      </c>
      <c r="F67" s="33">
        <f t="shared" si="19"/>
        <v>17800</v>
      </c>
      <c r="G67" s="33">
        <f t="shared" si="19"/>
        <v>18800</v>
      </c>
    </row>
    <row r="68" spans="1:7" x14ac:dyDescent="0.3">
      <c r="A68" s="54" t="s">
        <v>70</v>
      </c>
      <c r="B68" s="42"/>
      <c r="C68" s="125">
        <f>SUM(C66:C67)</f>
        <v>66000</v>
      </c>
      <c r="D68" s="125">
        <f t="shared" ref="D68" si="20">SUM(D66:D67)</f>
        <v>66000</v>
      </c>
      <c r="E68" s="125">
        <f t="shared" ref="E68" si="21">SUM(E66:E67)</f>
        <v>173800</v>
      </c>
      <c r="F68" s="125">
        <f t="shared" ref="F68" si="22">SUM(F66:F67)</f>
        <v>195800</v>
      </c>
      <c r="G68" s="125">
        <f t="shared" ref="G68" si="23">SUM(G66:G67)</f>
        <v>206800</v>
      </c>
    </row>
    <row r="70" spans="1:7" x14ac:dyDescent="0.3">
      <c r="A70" s="104" t="s">
        <v>90</v>
      </c>
    </row>
    <row r="71" spans="1:7" x14ac:dyDescent="0.3">
      <c r="A71" s="89" t="s">
        <v>83</v>
      </c>
      <c r="C71" s="101">
        <v>8</v>
      </c>
      <c r="D71" s="101">
        <v>10</v>
      </c>
      <c r="E71" s="101">
        <v>4</v>
      </c>
      <c r="F71" s="101">
        <v>5</v>
      </c>
      <c r="G71" s="101">
        <v>6</v>
      </c>
    </row>
    <row r="72" spans="1:7" x14ac:dyDescent="0.3">
      <c r="A72" s="89" t="s">
        <v>84</v>
      </c>
      <c r="C72" s="100">
        <v>10000</v>
      </c>
      <c r="D72" s="100">
        <v>15000</v>
      </c>
      <c r="E72" s="100">
        <v>16000</v>
      </c>
      <c r="F72" s="100">
        <v>17000</v>
      </c>
      <c r="G72" s="100">
        <v>20000</v>
      </c>
    </row>
    <row r="73" spans="1:7" x14ac:dyDescent="0.3">
      <c r="A73" s="89" t="s">
        <v>85</v>
      </c>
      <c r="B73" s="91"/>
      <c r="C73" s="33">
        <f>C71*C72</f>
        <v>80000</v>
      </c>
      <c r="D73" s="33">
        <f t="shared" ref="D73" si="24">D71*D72</f>
        <v>150000</v>
      </c>
      <c r="E73" s="33">
        <f t="shared" ref="E73" si="25">E71*E72</f>
        <v>64000</v>
      </c>
      <c r="F73" s="33">
        <f t="shared" ref="F73" si="26">F71*F72</f>
        <v>85000</v>
      </c>
      <c r="G73" s="33">
        <f t="shared" ref="G73" si="27">G71*G72</f>
        <v>120000</v>
      </c>
    </row>
    <row r="74" spans="1:7" x14ac:dyDescent="0.3">
      <c r="A74" s="103" t="s">
        <v>96</v>
      </c>
      <c r="B74" s="117">
        <v>0.05</v>
      </c>
      <c r="C74" s="33">
        <f>C73*$B$74</f>
        <v>4000</v>
      </c>
      <c r="D74" s="33">
        <f t="shared" ref="D74:G74" si="28">D73*$B$74</f>
        <v>7500</v>
      </c>
      <c r="E74" s="33">
        <f t="shared" si="28"/>
        <v>3200</v>
      </c>
      <c r="F74" s="33">
        <f t="shared" si="28"/>
        <v>4250</v>
      </c>
      <c r="G74" s="33">
        <f t="shared" si="28"/>
        <v>6000</v>
      </c>
    </row>
    <row r="75" spans="1:7" ht="14" thickBot="1" x14ac:dyDescent="0.35">
      <c r="A75" s="127" t="s">
        <v>94</v>
      </c>
      <c r="B75" s="113"/>
      <c r="C75" s="126">
        <f>SUM(C68,C73,C74)</f>
        <v>150000</v>
      </c>
      <c r="D75" s="126">
        <f t="shared" ref="D75:G75" si="29">SUM(D68,D73,D74)</f>
        <v>223500</v>
      </c>
      <c r="E75" s="126">
        <f t="shared" si="29"/>
        <v>241000</v>
      </c>
      <c r="F75" s="126">
        <f t="shared" si="29"/>
        <v>285050</v>
      </c>
      <c r="G75" s="126">
        <f t="shared" si="29"/>
        <v>332800</v>
      </c>
    </row>
    <row r="77" spans="1:7" x14ac:dyDescent="0.3">
      <c r="A77" s="118" t="s">
        <v>88</v>
      </c>
      <c r="B77" s="119"/>
      <c r="C77" s="119"/>
      <c r="D77" s="119"/>
      <c r="E77" s="119"/>
      <c r="F77" s="119"/>
      <c r="G77" s="119"/>
    </row>
    <row r="78" spans="1:7" x14ac:dyDescent="0.3">
      <c r="A78" s="102" t="s">
        <v>89</v>
      </c>
      <c r="C78" s="100">
        <v>30000</v>
      </c>
      <c r="D78" s="100">
        <v>30000</v>
      </c>
      <c r="E78" s="100">
        <v>30000</v>
      </c>
      <c r="F78" s="100">
        <v>40000</v>
      </c>
      <c r="G78" s="100">
        <v>50000</v>
      </c>
    </row>
    <row r="79" spans="1:7" x14ac:dyDescent="0.3">
      <c r="A79" s="102" t="s">
        <v>82</v>
      </c>
      <c r="C79" s="100">
        <v>30000</v>
      </c>
      <c r="D79" s="100">
        <v>30000</v>
      </c>
      <c r="E79" s="100">
        <v>30000</v>
      </c>
      <c r="F79" s="100">
        <v>50000</v>
      </c>
      <c r="G79" s="100">
        <v>50000</v>
      </c>
    </row>
    <row r="80" spans="1:7" x14ac:dyDescent="0.3">
      <c r="A80" s="102" t="s">
        <v>38</v>
      </c>
      <c r="C80" s="100"/>
      <c r="D80" s="100">
        <v>29000</v>
      </c>
      <c r="E80" s="100">
        <v>35000</v>
      </c>
      <c r="F80" s="100">
        <v>35000</v>
      </c>
      <c r="G80" s="100">
        <v>40000</v>
      </c>
    </row>
    <row r="81" spans="1:7" x14ac:dyDescent="0.3">
      <c r="A81" s="102" t="s">
        <v>39</v>
      </c>
      <c r="C81" s="100"/>
      <c r="D81" s="100">
        <v>29000</v>
      </c>
      <c r="E81" s="100">
        <v>29000</v>
      </c>
      <c r="F81" s="100">
        <v>29000</v>
      </c>
      <c r="G81" s="100">
        <v>29000</v>
      </c>
    </row>
    <row r="82" spans="1:7" x14ac:dyDescent="0.3">
      <c r="A82" s="103" t="s">
        <v>76</v>
      </c>
      <c r="C82" s="33">
        <f>SUM(C78:C81)</f>
        <v>60000</v>
      </c>
      <c r="D82" s="33">
        <f t="shared" ref="D82" si="30">SUM(D78:D81)</f>
        <v>118000</v>
      </c>
      <c r="E82" s="33">
        <f t="shared" ref="E82" si="31">SUM(E78:E81)</f>
        <v>124000</v>
      </c>
      <c r="F82" s="33">
        <f t="shared" ref="F82" si="32">SUM(F78:F81)</f>
        <v>154000</v>
      </c>
      <c r="G82" s="33">
        <f t="shared" ref="G82" si="33">SUM(G78:G81)</f>
        <v>169000</v>
      </c>
    </row>
    <row r="83" spans="1:7" x14ac:dyDescent="0.3">
      <c r="A83" s="103" t="s">
        <v>69</v>
      </c>
      <c r="B83" s="96">
        <v>0.1</v>
      </c>
      <c r="C83" s="33">
        <f>C82*$B$83</f>
        <v>6000</v>
      </c>
      <c r="D83" s="33">
        <f t="shared" ref="D83:G83" si="34">D82*$B$83</f>
        <v>11800</v>
      </c>
      <c r="E83" s="33">
        <f t="shared" si="34"/>
        <v>12400</v>
      </c>
      <c r="F83" s="33">
        <f t="shared" si="34"/>
        <v>15400</v>
      </c>
      <c r="G83" s="33">
        <f t="shared" si="34"/>
        <v>16900</v>
      </c>
    </row>
    <row r="84" spans="1:7" x14ac:dyDescent="0.3">
      <c r="A84" s="54" t="s">
        <v>70</v>
      </c>
      <c r="B84" s="42"/>
      <c r="C84" s="125">
        <f>SUM(C82:C83)</f>
        <v>66000</v>
      </c>
      <c r="D84" s="125">
        <f t="shared" ref="D84" si="35">SUM(D82:D83)</f>
        <v>129800</v>
      </c>
      <c r="E84" s="125">
        <f t="shared" ref="E84" si="36">SUM(E82:E83)</f>
        <v>136400</v>
      </c>
      <c r="F84" s="125">
        <f t="shared" ref="F84" si="37">SUM(F82:F83)</f>
        <v>169400</v>
      </c>
      <c r="G84" s="125">
        <f t="shared" ref="G84" si="38">SUM(G82:G83)</f>
        <v>185900</v>
      </c>
    </row>
    <row r="86" spans="1:7" x14ac:dyDescent="0.3">
      <c r="A86" s="104" t="s">
        <v>92</v>
      </c>
    </row>
    <row r="87" spans="1:7" x14ac:dyDescent="0.3">
      <c r="A87" s="89" t="s">
        <v>83</v>
      </c>
      <c r="C87" s="101">
        <v>2</v>
      </c>
      <c r="D87" s="101">
        <v>3</v>
      </c>
      <c r="E87" s="101">
        <v>4</v>
      </c>
      <c r="F87" s="101">
        <v>5</v>
      </c>
      <c r="G87" s="101">
        <v>6</v>
      </c>
    </row>
    <row r="88" spans="1:7" x14ac:dyDescent="0.3">
      <c r="A88" s="89" t="s">
        <v>84</v>
      </c>
      <c r="C88" s="100">
        <v>10000</v>
      </c>
      <c r="D88" s="100">
        <v>15000</v>
      </c>
      <c r="E88" s="100">
        <v>16000</v>
      </c>
      <c r="F88" s="100">
        <v>17000</v>
      </c>
      <c r="G88" s="100">
        <v>20000</v>
      </c>
    </row>
    <row r="89" spans="1:7" x14ac:dyDescent="0.3">
      <c r="A89" s="89" t="s">
        <v>85</v>
      </c>
      <c r="C89" s="33">
        <f>C87*C88</f>
        <v>20000</v>
      </c>
      <c r="D89" s="33">
        <f t="shared" ref="D89" si="39">D87*D88</f>
        <v>45000</v>
      </c>
      <c r="E89" s="33">
        <f t="shared" ref="E89" si="40">E87*E88</f>
        <v>64000</v>
      </c>
      <c r="F89" s="33">
        <f t="shared" ref="F89" si="41">F87*F88</f>
        <v>85000</v>
      </c>
      <c r="G89" s="33">
        <f t="shared" ref="G89" si="42">G87*G88</f>
        <v>120000</v>
      </c>
    </row>
    <row r="90" spans="1:7" x14ac:dyDescent="0.3">
      <c r="A90" s="103" t="s">
        <v>96</v>
      </c>
      <c r="B90" s="96">
        <v>0.05</v>
      </c>
      <c r="C90" s="33">
        <f>C89*$B$90</f>
        <v>1000</v>
      </c>
      <c r="D90" s="33">
        <f t="shared" ref="D90:G90" si="43">D89*$B$90</f>
        <v>2250</v>
      </c>
      <c r="E90" s="33">
        <f t="shared" si="43"/>
        <v>3200</v>
      </c>
      <c r="F90" s="33">
        <f t="shared" si="43"/>
        <v>4250</v>
      </c>
      <c r="G90" s="33">
        <f t="shared" si="43"/>
        <v>6000</v>
      </c>
    </row>
    <row r="91" spans="1:7" ht="14" thickBot="1" x14ac:dyDescent="0.35">
      <c r="A91" s="127" t="s">
        <v>95</v>
      </c>
      <c r="B91" s="128"/>
      <c r="C91" s="114">
        <f>SUM(C84,C89,C90)</f>
        <v>87000</v>
      </c>
      <c r="D91" s="114">
        <f t="shared" ref="D91:G91" si="44">SUM(D84,D89,D90)</f>
        <v>177050</v>
      </c>
      <c r="E91" s="114">
        <f t="shared" si="44"/>
        <v>203600</v>
      </c>
      <c r="F91" s="114">
        <f t="shared" si="44"/>
        <v>258650</v>
      </c>
      <c r="G91" s="114">
        <f t="shared" si="44"/>
        <v>311900</v>
      </c>
    </row>
    <row r="93" spans="1:7" x14ac:dyDescent="0.3">
      <c r="A93" s="120" t="s">
        <v>97</v>
      </c>
      <c r="B93" s="119"/>
      <c r="C93" s="119"/>
      <c r="D93" s="119"/>
      <c r="E93" s="119"/>
      <c r="F93" s="119"/>
      <c r="G93" s="119"/>
    </row>
    <row r="94" spans="1:7" x14ac:dyDescent="0.3">
      <c r="A94" s="102" t="s">
        <v>98</v>
      </c>
      <c r="C94" s="100">
        <v>30000</v>
      </c>
      <c r="D94" s="100">
        <v>30000</v>
      </c>
      <c r="E94" s="100">
        <v>30000</v>
      </c>
      <c r="F94" s="100">
        <v>30000</v>
      </c>
      <c r="G94" s="100">
        <v>30000</v>
      </c>
    </row>
    <row r="95" spans="1:7" x14ac:dyDescent="0.3">
      <c r="A95" s="102" t="s">
        <v>99</v>
      </c>
      <c r="C95" s="100">
        <v>30000</v>
      </c>
      <c r="D95" s="100">
        <v>30000</v>
      </c>
      <c r="E95" s="100">
        <v>30000</v>
      </c>
      <c r="F95" s="100">
        <v>30000</v>
      </c>
      <c r="G95" s="100">
        <v>30000</v>
      </c>
    </row>
    <row r="96" spans="1:7" x14ac:dyDescent="0.3">
      <c r="A96" s="102" t="s">
        <v>38</v>
      </c>
      <c r="C96" s="100">
        <v>29000</v>
      </c>
      <c r="D96" s="100">
        <v>29000</v>
      </c>
      <c r="E96" s="100">
        <v>29000</v>
      </c>
      <c r="F96" s="100">
        <v>29000</v>
      </c>
      <c r="G96" s="100">
        <v>29000</v>
      </c>
    </row>
    <row r="97" spans="1:7" x14ac:dyDescent="0.3">
      <c r="A97" s="102" t="s">
        <v>39</v>
      </c>
      <c r="C97" s="100">
        <v>29000</v>
      </c>
      <c r="D97" s="100">
        <v>29000</v>
      </c>
      <c r="E97" s="100">
        <v>29000</v>
      </c>
      <c r="F97" s="100">
        <v>29000</v>
      </c>
      <c r="G97" s="100">
        <v>29000</v>
      </c>
    </row>
    <row r="98" spans="1:7" x14ac:dyDescent="0.3">
      <c r="A98" s="103" t="s">
        <v>76</v>
      </c>
      <c r="C98" s="33">
        <f>SUM(C94:C97)</f>
        <v>118000</v>
      </c>
      <c r="D98" s="33">
        <f t="shared" ref="D98:G98" si="45">SUM(D94:D97)</f>
        <v>118000</v>
      </c>
      <c r="E98" s="33">
        <f t="shared" si="45"/>
        <v>118000</v>
      </c>
      <c r="F98" s="33">
        <f t="shared" si="45"/>
        <v>118000</v>
      </c>
      <c r="G98" s="33">
        <f t="shared" si="45"/>
        <v>118000</v>
      </c>
    </row>
    <row r="99" spans="1:7" x14ac:dyDescent="0.3">
      <c r="A99" s="103" t="s">
        <v>69</v>
      </c>
      <c r="B99" s="117">
        <v>0.1</v>
      </c>
      <c r="C99" s="33">
        <f>C98*$B$99</f>
        <v>11800</v>
      </c>
      <c r="D99" s="33">
        <f t="shared" ref="D99:G99" si="46">D98*$B$99</f>
        <v>11800</v>
      </c>
      <c r="E99" s="33">
        <f t="shared" si="46"/>
        <v>11800</v>
      </c>
      <c r="F99" s="33">
        <f t="shared" si="46"/>
        <v>11800</v>
      </c>
      <c r="G99" s="33">
        <f t="shared" si="46"/>
        <v>11800</v>
      </c>
    </row>
    <row r="100" spans="1:7" x14ac:dyDescent="0.3">
      <c r="A100" s="54" t="s">
        <v>70</v>
      </c>
      <c r="B100" s="42"/>
      <c r="C100" s="125">
        <f>SUM(C98:C99)</f>
        <v>129800</v>
      </c>
      <c r="D100" s="125">
        <f t="shared" ref="D100:G100" si="47">SUM(D98:D99)</f>
        <v>129800</v>
      </c>
      <c r="E100" s="125">
        <f t="shared" si="47"/>
        <v>129800</v>
      </c>
      <c r="F100" s="125">
        <f t="shared" si="47"/>
        <v>129800</v>
      </c>
      <c r="G100" s="125">
        <f t="shared" si="47"/>
        <v>129800</v>
      </c>
    </row>
    <row r="102" spans="1:7" x14ac:dyDescent="0.3">
      <c r="A102" s="104" t="s">
        <v>100</v>
      </c>
    </row>
    <row r="103" spans="1:7" x14ac:dyDescent="0.3">
      <c r="A103" s="89" t="s">
        <v>83</v>
      </c>
      <c r="C103" s="90">
        <v>2</v>
      </c>
      <c r="D103" s="90">
        <v>2</v>
      </c>
      <c r="E103" s="90">
        <v>3</v>
      </c>
      <c r="F103" s="90">
        <v>4</v>
      </c>
      <c r="G103" s="90">
        <v>5</v>
      </c>
    </row>
    <row r="104" spans="1:7" x14ac:dyDescent="0.3">
      <c r="A104" s="89" t="s">
        <v>84</v>
      </c>
      <c r="C104" s="100">
        <v>10000</v>
      </c>
      <c r="D104" s="100">
        <v>15000</v>
      </c>
      <c r="E104" s="100">
        <v>16000</v>
      </c>
      <c r="F104" s="100">
        <v>17000</v>
      </c>
      <c r="G104" s="100">
        <v>20000</v>
      </c>
    </row>
    <row r="105" spans="1:7" x14ac:dyDescent="0.3">
      <c r="A105" s="89" t="s">
        <v>85</v>
      </c>
      <c r="C105" s="33">
        <f>C103*C104</f>
        <v>20000</v>
      </c>
      <c r="D105" s="33">
        <f t="shared" ref="D105:G105" si="48">D103*D104</f>
        <v>30000</v>
      </c>
      <c r="E105" s="33">
        <f t="shared" si="48"/>
        <v>48000</v>
      </c>
      <c r="F105" s="33">
        <f t="shared" si="48"/>
        <v>68000</v>
      </c>
      <c r="G105" s="33">
        <f t="shared" si="48"/>
        <v>100000</v>
      </c>
    </row>
    <row r="106" spans="1:7" x14ac:dyDescent="0.3">
      <c r="A106" s="103" t="s">
        <v>96</v>
      </c>
      <c r="B106" s="121">
        <v>0.05</v>
      </c>
      <c r="C106" s="33">
        <f>C105*$B$106</f>
        <v>1000</v>
      </c>
      <c r="D106" s="33">
        <f t="shared" ref="D106:G106" si="49">D105*$B$106</f>
        <v>1500</v>
      </c>
      <c r="E106" s="33">
        <f t="shared" si="49"/>
        <v>2400</v>
      </c>
      <c r="F106" s="33">
        <f t="shared" si="49"/>
        <v>3400</v>
      </c>
      <c r="G106" s="33">
        <f t="shared" si="49"/>
        <v>5000</v>
      </c>
    </row>
    <row r="107" spans="1:7" ht="14" thickBot="1" x14ac:dyDescent="0.35">
      <c r="A107" s="127" t="s">
        <v>101</v>
      </c>
      <c r="B107" s="128"/>
      <c r="C107" s="114">
        <f>SUM(C100,C105,C106)</f>
        <v>150800</v>
      </c>
      <c r="D107" s="114">
        <f t="shared" ref="D107:G107" si="50">SUM(D100,D105,D106)</f>
        <v>161300</v>
      </c>
      <c r="E107" s="114">
        <f t="shared" si="50"/>
        <v>180200</v>
      </c>
      <c r="F107" s="114">
        <f t="shared" si="50"/>
        <v>201200</v>
      </c>
      <c r="G107" s="114">
        <f t="shared" si="50"/>
        <v>234800</v>
      </c>
    </row>
    <row r="111" spans="1:7" x14ac:dyDescent="0.3">
      <c r="A111" s="42"/>
      <c r="B111" s="42"/>
      <c r="C111" s="42"/>
      <c r="D111" s="42"/>
      <c r="E111" s="42"/>
      <c r="F111" s="42"/>
      <c r="G111" s="42"/>
    </row>
    <row r="112" spans="1:7" x14ac:dyDescent="0.3">
      <c r="A112" s="45" t="s">
        <v>105</v>
      </c>
      <c r="B112" s="42"/>
      <c r="C112" s="35">
        <f>SUM(C13,C26,C38,C50,C57,C66,C73,C82,C89,C98,C105)</f>
        <v>964000</v>
      </c>
      <c r="D112" s="35">
        <f t="shared" ref="D112:G112" si="51">SUM(D13,D26,D38,D50,D57,D66,D73,D82,D89,D98,D105)</f>
        <v>1345000</v>
      </c>
      <c r="E112" s="35">
        <f t="shared" si="51"/>
        <v>1507000</v>
      </c>
      <c r="F112" s="35">
        <f t="shared" si="51"/>
        <v>1640000</v>
      </c>
      <c r="G112" s="35">
        <f t="shared" si="51"/>
        <v>1802000</v>
      </c>
    </row>
    <row r="113" spans="1:7" x14ac:dyDescent="0.3">
      <c r="A113" s="79" t="s">
        <v>31</v>
      </c>
      <c r="B113" s="42"/>
      <c r="C113" s="73">
        <f>C112/REVENUE!B25</f>
        <v>0.32240802675585284</v>
      </c>
      <c r="D113" s="73">
        <f>D112/REVENUE!C25</f>
        <v>0.29207383279044519</v>
      </c>
      <c r="E113" s="73">
        <f>E112/REVENUE!D25</f>
        <v>0.13025064822817631</v>
      </c>
      <c r="F113" s="73">
        <f>F112/REVENUE!E25</f>
        <v>6.4630541871921188E-2</v>
      </c>
      <c r="G113" s="73">
        <f>G112/REVENUE!F25</f>
        <v>3.785714285714286E-2</v>
      </c>
    </row>
    <row r="114" spans="1:7" x14ac:dyDescent="0.3">
      <c r="A114" s="45" t="s">
        <v>103</v>
      </c>
      <c r="B114" s="42"/>
      <c r="C114" s="35">
        <f>SUM(C14,C27,C39,C51,C58,C67,C74,C83,C90,C99,C106)</f>
        <v>81900</v>
      </c>
      <c r="D114" s="35">
        <f t="shared" ref="D114:G114" si="52">SUM(D14,D27,D39,D51,D58,D67,D74,D83,D90,D99,D106)</f>
        <v>98360</v>
      </c>
      <c r="E114" s="35">
        <f t="shared" si="52"/>
        <v>116060</v>
      </c>
      <c r="F114" s="35">
        <f t="shared" si="52"/>
        <v>125210</v>
      </c>
      <c r="G114" s="35">
        <f t="shared" si="52"/>
        <v>134560</v>
      </c>
    </row>
    <row r="115" spans="1:7" x14ac:dyDescent="0.3">
      <c r="A115" s="79" t="s">
        <v>31</v>
      </c>
      <c r="B115" s="42"/>
      <c r="C115" s="73">
        <f>C114/REVENUE!B25</f>
        <v>2.7391304347826086E-2</v>
      </c>
      <c r="D115" s="73">
        <f>D114/REVENUE!C25</f>
        <v>2.1359391965255159E-2</v>
      </c>
      <c r="E115" s="73">
        <f>E114/REVENUE!D25</f>
        <v>1.0031114952463267E-2</v>
      </c>
      <c r="F115" s="73">
        <f>F114/REVENUE!E25</f>
        <v>4.9343842364532016E-3</v>
      </c>
      <c r="G115" s="73">
        <f>G114/REVENUE!F25</f>
        <v>2.8268907563025209E-3</v>
      </c>
    </row>
    <row r="116" spans="1:7" x14ac:dyDescent="0.3">
      <c r="A116" s="45" t="s">
        <v>102</v>
      </c>
      <c r="B116" s="42"/>
      <c r="C116" s="35">
        <f>SUM(C59,C75,C91,C107)</f>
        <v>431300</v>
      </c>
      <c r="D116" s="35">
        <f t="shared" ref="D116:G116" si="53">SUM(D59,D75,D91,D107)</f>
        <v>642100</v>
      </c>
      <c r="E116" s="35">
        <f t="shared" si="53"/>
        <v>821800</v>
      </c>
      <c r="F116" s="35">
        <f t="shared" si="53"/>
        <v>963950</v>
      </c>
      <c r="G116" s="35">
        <f t="shared" si="53"/>
        <v>1135300</v>
      </c>
    </row>
    <row r="117" spans="1:7" x14ac:dyDescent="0.3">
      <c r="A117" s="79" t="s">
        <v>31</v>
      </c>
      <c r="B117" s="42"/>
      <c r="C117" s="73">
        <f>C116/REVENUE!B25</f>
        <v>0.14424749163879599</v>
      </c>
      <c r="D117" s="73">
        <f>D116/REVENUE!C25</f>
        <v>0.13943539630836047</v>
      </c>
      <c r="E117" s="73">
        <f>E116/REVENUE!D25</f>
        <v>7.1028522039757999E-2</v>
      </c>
      <c r="F117" s="73">
        <f>F116/REVENUE!E25</f>
        <v>3.798817733990148E-2</v>
      </c>
      <c r="G117" s="73">
        <f>G116/REVENUE!F25</f>
        <v>2.3850840336134455E-2</v>
      </c>
    </row>
    <row r="118" spans="1:7" x14ac:dyDescent="0.3">
      <c r="A118" s="45"/>
      <c r="B118" s="42"/>
      <c r="C118" s="27"/>
      <c r="D118" s="27"/>
      <c r="E118" s="27"/>
      <c r="F118" s="27"/>
      <c r="G118" s="27"/>
    </row>
    <row r="119" spans="1:7" x14ac:dyDescent="0.3">
      <c r="A119" s="45" t="s">
        <v>104</v>
      </c>
      <c r="B119" s="42"/>
      <c r="C119" s="35">
        <f>SUM(C15,C28,C40,C59,C75,C91,C107)</f>
        <v>1045900</v>
      </c>
      <c r="D119" s="35">
        <f t="shared" ref="D119:G119" si="54">SUM(D15,D28,D40,D59,D75,D91,D107)</f>
        <v>1443360</v>
      </c>
      <c r="E119" s="35">
        <f t="shared" si="54"/>
        <v>1623060</v>
      </c>
      <c r="F119" s="35">
        <f t="shared" si="54"/>
        <v>1765210</v>
      </c>
      <c r="G119" s="35">
        <f t="shared" si="54"/>
        <v>1936560</v>
      </c>
    </row>
    <row r="120" spans="1:7" x14ac:dyDescent="0.3">
      <c r="A120" s="79" t="s">
        <v>31</v>
      </c>
      <c r="B120" s="42"/>
      <c r="C120" s="73">
        <f>C119/REVENUE!B25</f>
        <v>0.34979933110367895</v>
      </c>
      <c r="D120" s="73">
        <f>D119/REVENUE!C25</f>
        <v>0.31343322475570035</v>
      </c>
      <c r="E120" s="73">
        <f>E119/REVENUE!D25</f>
        <v>0.14028176318063959</v>
      </c>
      <c r="F120" s="73">
        <f>F119/REVENUE!E25</f>
        <v>6.9564926108374378E-2</v>
      </c>
      <c r="G120" s="73">
        <f>G119/REVENUE!F25</f>
        <v>4.0684033613445379E-2</v>
      </c>
    </row>
    <row r="121" spans="1:7" x14ac:dyDescent="0.3">
      <c r="A121" s="42"/>
      <c r="B121" s="42"/>
      <c r="C121" s="42"/>
      <c r="D121" s="42"/>
      <c r="E121" s="42"/>
      <c r="F121" s="42"/>
      <c r="G121" s="42"/>
    </row>
  </sheetData>
  <sheetProtection algorithmName="SHA-512" hashValue="EQ1fgHuCkqzU/FqL7MON7lXZA9DX0vnLmZ+vk5sF+RQDj0rncixVfrEGzS7HyTworLpM2rBg1VSKFmqbD1L5sQ==" saltValue="OVfPp+3JujXXcR2AG2WL0Q==" spinCount="100000" sheet="1" objects="1" scenarios="1"/>
  <pageMargins left="0.7" right="0.7" top="0.78740157499999996" bottom="0.78740157499999996" header="0.3" footer="0.3"/>
  <ignoredErrors>
    <ignoredError sqref="C114:G114 C116:G116"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O70"/>
  <sheetViews>
    <sheetView topLeftCell="A37" zoomScale="71" zoomScaleNormal="71" workbookViewId="0">
      <selection activeCell="L38" sqref="L38"/>
    </sheetView>
  </sheetViews>
  <sheetFormatPr baseColWidth="10" defaultRowHeight="13.5" x14ac:dyDescent="0.3"/>
  <cols>
    <col min="1" max="1" width="33.7265625" style="87" customWidth="1"/>
    <col min="2" max="2" width="13.453125" style="87" customWidth="1"/>
    <col min="3" max="4" width="16.26953125" style="87" bestFit="1" customWidth="1"/>
    <col min="5" max="6" width="16.54296875" style="87" bestFit="1" customWidth="1"/>
    <col min="7" max="7" width="17.26953125" style="87" bestFit="1" customWidth="1"/>
    <col min="8" max="16384" width="10.90625" style="87"/>
  </cols>
  <sheetData>
    <row r="4" spans="1:7" x14ac:dyDescent="0.3">
      <c r="A4" s="86" t="s">
        <v>61</v>
      </c>
      <c r="C4" s="97"/>
      <c r="D4" s="97"/>
      <c r="F4" s="97"/>
      <c r="G4" s="97"/>
    </row>
    <row r="5" spans="1:7" x14ac:dyDescent="0.3">
      <c r="A5" s="86"/>
      <c r="B5" s="98" t="s">
        <v>133</v>
      </c>
      <c r="C5" s="99"/>
      <c r="D5" s="88"/>
      <c r="E5" s="88" t="s">
        <v>1</v>
      </c>
      <c r="F5" s="88"/>
      <c r="G5" s="88"/>
    </row>
    <row r="6" spans="1:7" x14ac:dyDescent="0.3">
      <c r="B6" s="98">
        <v>0</v>
      </c>
      <c r="C6" s="99">
        <v>1</v>
      </c>
      <c r="D6" s="88">
        <v>2</v>
      </c>
      <c r="E6" s="88">
        <v>3</v>
      </c>
      <c r="F6" s="88">
        <v>4</v>
      </c>
      <c r="G6" s="88">
        <v>5</v>
      </c>
    </row>
    <row r="7" spans="1:7" x14ac:dyDescent="0.3">
      <c r="A7" s="86" t="s">
        <v>116</v>
      </c>
    </row>
    <row r="8" spans="1:7" x14ac:dyDescent="0.3">
      <c r="A8" s="89" t="s">
        <v>117</v>
      </c>
      <c r="B8" s="100"/>
      <c r="C8" s="100">
        <v>20000</v>
      </c>
      <c r="D8" s="100">
        <v>100000</v>
      </c>
      <c r="E8" s="100">
        <v>200000</v>
      </c>
      <c r="F8" s="100">
        <v>250000</v>
      </c>
      <c r="G8" s="100">
        <v>350000</v>
      </c>
    </row>
    <row r="9" spans="1:7" x14ac:dyDescent="0.3">
      <c r="A9" s="89" t="s">
        <v>120</v>
      </c>
      <c r="B9" s="100"/>
      <c r="C9" s="100">
        <v>250000</v>
      </c>
      <c r="D9" s="100">
        <v>350000</v>
      </c>
      <c r="E9" s="100">
        <v>250000</v>
      </c>
      <c r="F9" s="100">
        <v>300000</v>
      </c>
      <c r="G9" s="100">
        <v>300000</v>
      </c>
    </row>
    <row r="10" spans="1:7" x14ac:dyDescent="0.3">
      <c r="A10" s="89" t="s">
        <v>118</v>
      </c>
      <c r="B10" s="100"/>
      <c r="C10" s="100">
        <v>10000</v>
      </c>
      <c r="D10" s="100">
        <v>50000</v>
      </c>
      <c r="E10" s="100">
        <v>100000</v>
      </c>
      <c r="F10" s="100">
        <v>100000</v>
      </c>
      <c r="G10" s="100">
        <v>100000</v>
      </c>
    </row>
    <row r="11" spans="1:7" x14ac:dyDescent="0.3">
      <c r="A11" s="45" t="s">
        <v>119</v>
      </c>
      <c r="B11" s="35">
        <f t="shared" ref="B11:G11" si="0">SUM(B8:B10)</f>
        <v>0</v>
      </c>
      <c r="C11" s="35">
        <f t="shared" si="0"/>
        <v>280000</v>
      </c>
      <c r="D11" s="35">
        <f t="shared" si="0"/>
        <v>500000</v>
      </c>
      <c r="E11" s="35">
        <f t="shared" si="0"/>
        <v>550000</v>
      </c>
      <c r="F11" s="35">
        <f t="shared" si="0"/>
        <v>650000</v>
      </c>
      <c r="G11" s="35">
        <f t="shared" si="0"/>
        <v>750000</v>
      </c>
    </row>
    <row r="12" spans="1:7" x14ac:dyDescent="0.3">
      <c r="A12" s="106" t="s">
        <v>31</v>
      </c>
      <c r="B12" s="107">
        <f>B11/REVENUE!B25</f>
        <v>0</v>
      </c>
      <c r="C12" s="107">
        <f>C11/REVENUE!B25</f>
        <v>9.3645484949832769E-2</v>
      </c>
      <c r="D12" s="107">
        <f>D11/REVENUE!C25</f>
        <v>0.10857763300760044</v>
      </c>
      <c r="E12" s="107">
        <f>E11/REVENUE!D25</f>
        <v>4.753673292999136E-2</v>
      </c>
      <c r="F12" s="107">
        <f>F11/REVENUE!E25</f>
        <v>2.561576354679803E-2</v>
      </c>
      <c r="G12" s="107">
        <f>G11/REVENUE!F25</f>
        <v>1.5756302521008403E-2</v>
      </c>
    </row>
    <row r="14" spans="1:7" x14ac:dyDescent="0.3">
      <c r="A14" s="86" t="s">
        <v>129</v>
      </c>
    </row>
    <row r="15" spans="1:7" x14ac:dyDescent="0.3">
      <c r="A15" s="87" t="s">
        <v>121</v>
      </c>
      <c r="B15" s="101">
        <v>1</v>
      </c>
      <c r="C15" s="101">
        <v>4</v>
      </c>
      <c r="D15" s="101">
        <v>4</v>
      </c>
      <c r="E15" s="101">
        <v>4</v>
      </c>
      <c r="F15" s="101">
        <v>4</v>
      </c>
      <c r="G15" s="101">
        <v>4</v>
      </c>
    </row>
    <row r="16" spans="1:7" x14ac:dyDescent="0.3">
      <c r="A16" s="76" t="s">
        <v>122</v>
      </c>
      <c r="B16" s="33"/>
      <c r="C16" s="33">
        <f>$B8*1/$B15</f>
        <v>0</v>
      </c>
      <c r="D16" s="33">
        <f>IF(C16&lt;$B8,($B8*1/$B15),0)</f>
        <v>0</v>
      </c>
      <c r="E16" s="33">
        <f>IF(SUM(C16:D16)&lt;$B8,($B8*1/$B$15),0)</f>
        <v>0</v>
      </c>
      <c r="F16" s="33">
        <f>IF(SUM(C16:E16)&lt;$B8,($B8*1/$B$15),0)</f>
        <v>0</v>
      </c>
      <c r="G16" s="33">
        <f>IF(SUM(C16:F16)&lt;$B8,($B8*1/$B$15),0)</f>
        <v>0</v>
      </c>
    </row>
    <row r="17" spans="1:15" x14ac:dyDescent="0.3">
      <c r="A17" s="76" t="s">
        <v>123</v>
      </c>
      <c r="B17" s="33"/>
      <c r="C17" s="33">
        <f>$C8*1/$C15</f>
        <v>5000</v>
      </c>
      <c r="D17" s="33">
        <f>IF(C17&lt;$C8,($C8*1/$C$15),0)</f>
        <v>5000</v>
      </c>
      <c r="E17" s="33">
        <f>IF(SUM(C17:D17)&lt;$C8,($C8*1/$C$15),0)</f>
        <v>5000</v>
      </c>
      <c r="F17" s="33">
        <f>IF(SUM(C17:E17)&lt;$C8,($C8*1/$C$15),0)</f>
        <v>5000</v>
      </c>
      <c r="G17" s="33">
        <f>IF(SUM(C17:F17)&lt;$C8,($C8*1/$C$15),0)</f>
        <v>0</v>
      </c>
    </row>
    <row r="18" spans="1:15" x14ac:dyDescent="0.3">
      <c r="A18" s="76" t="s">
        <v>124</v>
      </c>
      <c r="B18" s="33"/>
      <c r="C18" s="33"/>
      <c r="D18" s="33">
        <f>$D8*1/$D$15</f>
        <v>25000</v>
      </c>
      <c r="E18" s="33">
        <f>IF(D18&lt;$D8,($D8*1/$D$15),0)</f>
        <v>25000</v>
      </c>
      <c r="F18" s="33">
        <f>IF(SUM(D18:E18)&lt;$D8,($D8*1/$D$15),0)</f>
        <v>25000</v>
      </c>
      <c r="G18" s="33">
        <f>IF(SUM(D18:F18)&lt;$D8,($D8*1/$D$15),0)</f>
        <v>25000</v>
      </c>
    </row>
    <row r="19" spans="1:15" x14ac:dyDescent="0.3">
      <c r="A19" s="76" t="s">
        <v>125</v>
      </c>
      <c r="B19" s="33"/>
      <c r="C19" s="33"/>
      <c r="D19" s="33"/>
      <c r="E19" s="33">
        <f>$E8*1/$E$15</f>
        <v>50000</v>
      </c>
      <c r="F19" s="33">
        <f>IF(E19&lt;$E8,($E8*1/$E$15),0)</f>
        <v>50000</v>
      </c>
      <c r="G19" s="33">
        <f>IF(SUM(E19:F19)&lt;$E8,($E8*1/$E$15),0)</f>
        <v>50000</v>
      </c>
    </row>
    <row r="20" spans="1:15" x14ac:dyDescent="0.3">
      <c r="A20" s="76" t="s">
        <v>126</v>
      </c>
      <c r="B20" s="33"/>
      <c r="C20" s="33"/>
      <c r="D20" s="33"/>
      <c r="E20" s="33"/>
      <c r="F20" s="33">
        <f>$F8*1/$F$15</f>
        <v>62500</v>
      </c>
      <c r="G20" s="33">
        <f>IF(F20&lt;$F8,($F8*1/$F$15),0)</f>
        <v>62500</v>
      </c>
    </row>
    <row r="21" spans="1:15" x14ac:dyDescent="0.3">
      <c r="A21" s="76" t="s">
        <v>127</v>
      </c>
      <c r="B21" s="33"/>
      <c r="C21" s="33"/>
      <c r="D21" s="33"/>
      <c r="E21" s="33"/>
      <c r="F21" s="33"/>
      <c r="G21" s="33">
        <f>$G8*1/G$15</f>
        <v>87500</v>
      </c>
    </row>
    <row r="22" spans="1:15" ht="14" thickBot="1" x14ac:dyDescent="0.35">
      <c r="A22" s="45" t="s">
        <v>243</v>
      </c>
      <c r="B22" s="82"/>
      <c r="C22" s="82">
        <f>SUM(C16:C21)</f>
        <v>5000</v>
      </c>
      <c r="D22" s="82">
        <f t="shared" ref="D22:G22" si="1">SUM(D16:D21)</f>
        <v>30000</v>
      </c>
      <c r="E22" s="82">
        <f t="shared" si="1"/>
        <v>80000</v>
      </c>
      <c r="F22" s="82">
        <f t="shared" si="1"/>
        <v>142500</v>
      </c>
      <c r="G22" s="82">
        <f t="shared" si="1"/>
        <v>225000</v>
      </c>
      <c r="O22" s="42"/>
    </row>
    <row r="23" spans="1:15" ht="14" thickTop="1" x14ac:dyDescent="0.3"/>
    <row r="24" spans="1:15" x14ac:dyDescent="0.3">
      <c r="A24" s="86" t="s">
        <v>130</v>
      </c>
    </row>
    <row r="25" spans="1:15" x14ac:dyDescent="0.3">
      <c r="A25" s="87" t="s">
        <v>121</v>
      </c>
      <c r="B25" s="101">
        <v>1</v>
      </c>
      <c r="C25" s="101">
        <v>7</v>
      </c>
      <c r="D25" s="101">
        <v>7</v>
      </c>
      <c r="E25" s="101">
        <v>7</v>
      </c>
      <c r="F25" s="101">
        <v>7</v>
      </c>
      <c r="G25" s="101">
        <v>7</v>
      </c>
    </row>
    <row r="26" spans="1:15" x14ac:dyDescent="0.3">
      <c r="A26" s="76" t="s">
        <v>122</v>
      </c>
      <c r="B26" s="108"/>
      <c r="C26" s="108">
        <f>$B9*1/$B25</f>
        <v>0</v>
      </c>
      <c r="D26" s="108">
        <f>IF(C26&lt;$B9,($B9*1/$B$25),0)</f>
        <v>0</v>
      </c>
      <c r="E26" s="108">
        <f>IF(SUM(C26:D26)&lt;$B9,($B9*1/$B$25),0)</f>
        <v>0</v>
      </c>
      <c r="F26" s="108">
        <f>IF(SUM(C26:E26)&lt;$B9,($B9*1/$B$25),0)</f>
        <v>0</v>
      </c>
      <c r="G26" s="108">
        <f>IF(SUM(C26:F26)&lt;$B9,($B9*1/$B$25),0)</f>
        <v>0</v>
      </c>
    </row>
    <row r="27" spans="1:15" x14ac:dyDescent="0.3">
      <c r="A27" s="76" t="s">
        <v>123</v>
      </c>
      <c r="B27" s="108"/>
      <c r="C27" s="108">
        <f>$C9*1/$C25</f>
        <v>35714.285714285717</v>
      </c>
      <c r="D27" s="108">
        <f>IF(C27&lt;$C9,($C9*1/$C$25),0)</f>
        <v>35714.285714285717</v>
      </c>
      <c r="E27" s="108">
        <f>IF(SUM(C27:D27)&lt;$C9,($C9*1/$C$25),0)</f>
        <v>35714.285714285717</v>
      </c>
      <c r="F27" s="108">
        <f>IF(SUM(C27:E27)&lt;$C9,($C9*1/$C$25),0)</f>
        <v>35714.285714285717</v>
      </c>
      <c r="G27" s="108">
        <f>IF(SUM(C27:F27)&lt;$C9,($C9*1/$C$25),0)</f>
        <v>35714.285714285717</v>
      </c>
    </row>
    <row r="28" spans="1:15" x14ac:dyDescent="0.3">
      <c r="A28" s="76" t="s">
        <v>124</v>
      </c>
      <c r="B28" s="108"/>
      <c r="C28" s="108"/>
      <c r="D28" s="108">
        <f>$D9*1/$D$25</f>
        <v>50000</v>
      </c>
      <c r="E28" s="108">
        <f>IF(D28&lt;$D9,($D9*1/$D$25),0)</f>
        <v>50000</v>
      </c>
      <c r="F28" s="108">
        <f>IF(SUM(D28:E28)&lt;$D9,($D9*1/$D$25),0)</f>
        <v>50000</v>
      </c>
      <c r="G28" s="108">
        <f>IF(SUM(D28:F28)&lt;$D9,($D9*1/$D$25),0)</f>
        <v>50000</v>
      </c>
    </row>
    <row r="29" spans="1:15" x14ac:dyDescent="0.3">
      <c r="A29" s="76" t="s">
        <v>125</v>
      </c>
      <c r="B29" s="108"/>
      <c r="C29" s="108"/>
      <c r="D29" s="108"/>
      <c r="E29" s="108">
        <f>$E9*1/$E$25</f>
        <v>35714.285714285717</v>
      </c>
      <c r="F29" s="108">
        <f>IF(E29&lt;$E9,($E9*1/$E$25),0)</f>
        <v>35714.285714285717</v>
      </c>
      <c r="G29" s="108">
        <f>IF(SUM(E29:F29)&lt;$E9,($E9*1/$E$25),0)</f>
        <v>35714.285714285717</v>
      </c>
    </row>
    <row r="30" spans="1:15" x14ac:dyDescent="0.3">
      <c r="A30" s="76" t="s">
        <v>126</v>
      </c>
      <c r="B30" s="108"/>
      <c r="C30" s="108"/>
      <c r="D30" s="108"/>
      <c r="E30" s="108"/>
      <c r="F30" s="108">
        <f>$F9*1/$F$25</f>
        <v>42857.142857142855</v>
      </c>
      <c r="G30" s="108">
        <f>IF(F30&lt;$F9,($F9*1/$F$25),0)</f>
        <v>42857.142857142855</v>
      </c>
    </row>
    <row r="31" spans="1:15" x14ac:dyDescent="0.3">
      <c r="A31" s="76" t="s">
        <v>127</v>
      </c>
      <c r="B31" s="108"/>
      <c r="C31" s="108"/>
      <c r="D31" s="108"/>
      <c r="E31" s="108"/>
      <c r="F31" s="108"/>
      <c r="G31" s="108">
        <f>$G9*1/G$25</f>
        <v>42857.142857142855</v>
      </c>
    </row>
    <row r="32" spans="1:15" ht="14" thickBot="1" x14ac:dyDescent="0.35">
      <c r="A32" s="45" t="s">
        <v>244</v>
      </c>
      <c r="B32" s="109"/>
      <c r="C32" s="109">
        <f>SUM(C26:C31)</f>
        <v>35714.285714285717</v>
      </c>
      <c r="D32" s="109">
        <f t="shared" ref="D32:G32" si="2">SUM(D26:D31)</f>
        <v>85714.28571428571</v>
      </c>
      <c r="E32" s="109">
        <f t="shared" si="2"/>
        <v>121428.57142857142</v>
      </c>
      <c r="F32" s="109">
        <f t="shared" si="2"/>
        <v>164285.71428571426</v>
      </c>
      <c r="G32" s="109">
        <f t="shared" si="2"/>
        <v>207142.8571428571</v>
      </c>
    </row>
    <row r="33" spans="1:7" ht="14" thickTop="1" x14ac:dyDescent="0.3"/>
    <row r="34" spans="1:7" x14ac:dyDescent="0.3">
      <c r="A34" s="86" t="s">
        <v>131</v>
      </c>
    </row>
    <row r="35" spans="1:7" x14ac:dyDescent="0.3">
      <c r="A35" s="87" t="s">
        <v>121</v>
      </c>
      <c r="B35" s="101">
        <v>1</v>
      </c>
      <c r="C35" s="101">
        <v>7</v>
      </c>
      <c r="D35" s="101">
        <v>7</v>
      </c>
      <c r="E35" s="101">
        <v>7</v>
      </c>
      <c r="F35" s="101">
        <v>7</v>
      </c>
      <c r="G35" s="101">
        <v>7</v>
      </c>
    </row>
    <row r="36" spans="1:7" x14ac:dyDescent="0.3">
      <c r="A36" s="76" t="s">
        <v>122</v>
      </c>
      <c r="B36" s="110"/>
      <c r="C36" s="110">
        <f>$B10*1/$B35</f>
        <v>0</v>
      </c>
      <c r="D36" s="110">
        <f>IF(C36&lt;$B10,($B10*1/$B$35),0)</f>
        <v>0</v>
      </c>
      <c r="E36" s="110">
        <f>IF(SUM(C36:D36)&lt;$B10,($B10*1/$B$35),0)</f>
        <v>0</v>
      </c>
      <c r="F36" s="110">
        <f>IF(SUM(C36:E36)&lt;$B10,($B10*1/$B$35),0)</f>
        <v>0</v>
      </c>
      <c r="G36" s="110">
        <f>IF(SUM(C36:F36)&lt;$B10,($B10*1/$B$35),0)</f>
        <v>0</v>
      </c>
    </row>
    <row r="37" spans="1:7" x14ac:dyDescent="0.3">
      <c r="A37" s="76" t="s">
        <v>123</v>
      </c>
      <c r="B37" s="110"/>
      <c r="C37" s="110">
        <f>$C10*1/$C35</f>
        <v>1428.5714285714287</v>
      </c>
      <c r="D37" s="110">
        <f>IF(C37&lt;$C10,($C10*1/$C$35),0)</f>
        <v>1428.5714285714287</v>
      </c>
      <c r="E37" s="110">
        <f>IF(SUM(C37:D37)&lt;$C10,($C10*1/$C$35),0)</f>
        <v>1428.5714285714287</v>
      </c>
      <c r="F37" s="110">
        <f>IF(SUM(C37:E37)&lt;$C10,($C10*1/$C$35),0)</f>
        <v>1428.5714285714287</v>
      </c>
      <c r="G37" s="110">
        <f>IF(SUM(C37:F37)&lt;$C10,($C10*1/$C$35),0)</f>
        <v>1428.5714285714287</v>
      </c>
    </row>
    <row r="38" spans="1:7" x14ac:dyDescent="0.3">
      <c r="A38" s="76" t="s">
        <v>124</v>
      </c>
      <c r="B38" s="110"/>
      <c r="C38" s="110"/>
      <c r="D38" s="110">
        <f>$D10*1/$D$35</f>
        <v>7142.8571428571431</v>
      </c>
      <c r="E38" s="110">
        <f>IF(D38&lt;D10,($D10*1/$D$35),0)</f>
        <v>7142.8571428571431</v>
      </c>
      <c r="F38" s="110">
        <f>IF(SUM(D38:E38)&lt;$D10,($D10*1/$D$35),0)</f>
        <v>7142.8571428571431</v>
      </c>
      <c r="G38" s="110">
        <f>IF(SUM(D38:F38)&lt;$D10,($D10*1/$D$35),0)</f>
        <v>7142.8571428571431</v>
      </c>
    </row>
    <row r="39" spans="1:7" x14ac:dyDescent="0.3">
      <c r="A39" s="76" t="s">
        <v>125</v>
      </c>
      <c r="B39" s="110"/>
      <c r="C39" s="110"/>
      <c r="D39" s="110"/>
      <c r="E39" s="110">
        <f>$E10*1/$E$35</f>
        <v>14285.714285714286</v>
      </c>
      <c r="F39" s="110">
        <f>IF(E39&lt;$E10,($E10*1/$E$35),0)</f>
        <v>14285.714285714286</v>
      </c>
      <c r="G39" s="110">
        <f>IF(SUM(E39:F39)&lt;$E10,($E10*1/$E$35),0)</f>
        <v>14285.714285714286</v>
      </c>
    </row>
    <row r="40" spans="1:7" x14ac:dyDescent="0.3">
      <c r="A40" s="76" t="s">
        <v>126</v>
      </c>
      <c r="B40" s="110"/>
      <c r="C40" s="110"/>
      <c r="D40" s="110"/>
      <c r="E40" s="110"/>
      <c r="F40" s="110">
        <f>$F10*1/$F$35</f>
        <v>14285.714285714286</v>
      </c>
      <c r="G40" s="110">
        <f>IF(F40&lt;$F10,($F10*1/$F$35),0)</f>
        <v>14285.714285714286</v>
      </c>
    </row>
    <row r="41" spans="1:7" x14ac:dyDescent="0.3">
      <c r="A41" s="76" t="s">
        <v>127</v>
      </c>
      <c r="B41" s="110"/>
      <c r="C41" s="110"/>
      <c r="D41" s="110"/>
      <c r="E41" s="110"/>
      <c r="F41" s="110"/>
      <c r="G41" s="110">
        <f>$G10*1/G$35</f>
        <v>14285.714285714286</v>
      </c>
    </row>
    <row r="42" spans="1:7" ht="14" thickBot="1" x14ac:dyDescent="0.35">
      <c r="A42" s="45" t="s">
        <v>245</v>
      </c>
      <c r="B42" s="111"/>
      <c r="C42" s="111">
        <f>SUM(C36:C41)</f>
        <v>1428.5714285714287</v>
      </c>
      <c r="D42" s="111">
        <f t="shared" ref="D42:G42" si="3">SUM(D36:D41)</f>
        <v>8571.4285714285725</v>
      </c>
      <c r="E42" s="111">
        <f t="shared" si="3"/>
        <v>22857.142857142859</v>
      </c>
      <c r="F42" s="111">
        <f t="shared" si="3"/>
        <v>37142.857142857145</v>
      </c>
      <c r="G42" s="111">
        <f t="shared" si="3"/>
        <v>51428.571428571435</v>
      </c>
    </row>
    <row r="43" spans="1:7" ht="14" thickTop="1" x14ac:dyDescent="0.3">
      <c r="A43" s="42"/>
      <c r="B43" s="42"/>
      <c r="C43" s="42"/>
      <c r="D43" s="42"/>
      <c r="E43" s="42"/>
      <c r="F43" s="42"/>
      <c r="G43" s="42"/>
    </row>
    <row r="44" spans="1:7" x14ac:dyDescent="0.3">
      <c r="A44" s="42"/>
      <c r="B44" s="42"/>
      <c r="C44" s="42"/>
      <c r="D44" s="42"/>
      <c r="E44" s="42"/>
      <c r="F44" s="42"/>
      <c r="G44" s="42"/>
    </row>
    <row r="45" spans="1:7" ht="14" thickBot="1" x14ac:dyDescent="0.35">
      <c r="A45" s="112" t="s">
        <v>128</v>
      </c>
      <c r="B45" s="113"/>
      <c r="C45" s="114">
        <f>SUM(C22,C32,C42)</f>
        <v>42142.857142857145</v>
      </c>
      <c r="D45" s="114">
        <f t="shared" ref="D45:G45" si="4">SUM(D22,D32,D42)</f>
        <v>124285.71428571429</v>
      </c>
      <c r="E45" s="114">
        <f t="shared" si="4"/>
        <v>224285.71428571429</v>
      </c>
      <c r="F45" s="114">
        <f t="shared" si="4"/>
        <v>343928.57142857142</v>
      </c>
      <c r="G45" s="114">
        <f t="shared" si="4"/>
        <v>483571.42857142852</v>
      </c>
    </row>
    <row r="46" spans="1:7" x14ac:dyDescent="0.3">
      <c r="A46" s="54" t="s">
        <v>31</v>
      </c>
      <c r="B46" s="33"/>
      <c r="C46" s="33">
        <f>C45/REVENUE!B25</f>
        <v>1.4094601051122792E-2</v>
      </c>
      <c r="D46" s="33">
        <f>D45/REVENUE!C25</f>
        <v>2.6989297347603539E-2</v>
      </c>
      <c r="E46" s="33">
        <f>E45/REVENUE!D25</f>
        <v>1.9385109272749723E-2</v>
      </c>
      <c r="F46" s="33">
        <f>F45/REVENUE!E25</f>
        <v>1.3553835327234342E-2</v>
      </c>
      <c r="G46" s="33">
        <f>G45/REVENUE!F25</f>
        <v>1.0159063625450179E-2</v>
      </c>
    </row>
    <row r="47" spans="1:7" x14ac:dyDescent="0.3">
      <c r="A47" s="115" t="s">
        <v>132</v>
      </c>
      <c r="B47" s="80"/>
      <c r="C47" s="80">
        <f>C45</f>
        <v>42142.857142857145</v>
      </c>
      <c r="D47" s="80">
        <f>C47+D45</f>
        <v>166428.57142857142</v>
      </c>
      <c r="E47" s="80">
        <f t="shared" ref="E47:G47" si="5">D47+E45</f>
        <v>390714.28571428568</v>
      </c>
      <c r="F47" s="80">
        <f t="shared" si="5"/>
        <v>734642.85714285704</v>
      </c>
      <c r="G47" s="80">
        <f t="shared" si="5"/>
        <v>1218214.2857142854</v>
      </c>
    </row>
    <row r="48" spans="1:7" x14ac:dyDescent="0.3">
      <c r="A48" s="42" t="s">
        <v>211</v>
      </c>
      <c r="B48" s="33">
        <f>B11</f>
        <v>0</v>
      </c>
      <c r="C48" s="33">
        <f>C11+B48</f>
        <v>280000</v>
      </c>
      <c r="D48" s="33">
        <f>D11+C48</f>
        <v>780000</v>
      </c>
      <c r="E48" s="33">
        <f>E11+D48</f>
        <v>1330000</v>
      </c>
      <c r="F48" s="33">
        <f>F11+E48</f>
        <v>1980000</v>
      </c>
      <c r="G48" s="33">
        <f>G11+F48</f>
        <v>2730000</v>
      </c>
    </row>
    <row r="49" spans="1:7" x14ac:dyDescent="0.3">
      <c r="A49" s="65" t="s">
        <v>212</v>
      </c>
      <c r="B49" s="33">
        <f>B48-B47</f>
        <v>0</v>
      </c>
      <c r="C49" s="33">
        <f t="shared" ref="C49:G49" si="6">C48-C47</f>
        <v>237857.14285714284</v>
      </c>
      <c r="D49" s="33">
        <f t="shared" si="6"/>
        <v>613571.42857142864</v>
      </c>
      <c r="E49" s="33">
        <f t="shared" si="6"/>
        <v>939285.71428571432</v>
      </c>
      <c r="F49" s="33">
        <f t="shared" si="6"/>
        <v>1245357.142857143</v>
      </c>
      <c r="G49" s="33">
        <f t="shared" si="6"/>
        <v>1511785.7142857146</v>
      </c>
    </row>
    <row r="52" spans="1:7" x14ac:dyDescent="0.3">
      <c r="A52" s="86" t="s">
        <v>311</v>
      </c>
      <c r="C52" s="97" t="s">
        <v>1</v>
      </c>
    </row>
    <row r="53" spans="1:7" x14ac:dyDescent="0.3">
      <c r="C53" s="97">
        <v>1</v>
      </c>
    </row>
    <row r="54" spans="1:7" x14ac:dyDescent="0.3">
      <c r="A54" s="91" t="s">
        <v>266</v>
      </c>
      <c r="C54" s="100">
        <v>140000</v>
      </c>
    </row>
    <row r="55" spans="1:7" x14ac:dyDescent="0.3">
      <c r="A55" s="91" t="s">
        <v>267</v>
      </c>
      <c r="C55" s="100">
        <v>100000</v>
      </c>
    </row>
    <row r="56" spans="1:7" x14ac:dyDescent="0.3">
      <c r="A56" s="91" t="s">
        <v>268</v>
      </c>
      <c r="C56" s="100">
        <v>40000</v>
      </c>
    </row>
    <row r="57" spans="1:7" x14ac:dyDescent="0.3">
      <c r="A57" s="30" t="s">
        <v>278</v>
      </c>
      <c r="B57" s="42"/>
      <c r="C57" s="46">
        <f>SUM(C54:C56)</f>
        <v>280000</v>
      </c>
    </row>
    <row r="58" spans="1:7" x14ac:dyDescent="0.3">
      <c r="A58" s="91" t="s">
        <v>269</v>
      </c>
      <c r="C58" s="100"/>
    </row>
    <row r="59" spans="1:7" x14ac:dyDescent="0.3">
      <c r="A59" s="91" t="s">
        <v>270</v>
      </c>
      <c r="C59" s="100"/>
    </row>
    <row r="60" spans="1:7" x14ac:dyDescent="0.3">
      <c r="A60" s="91" t="s">
        <v>271</v>
      </c>
      <c r="C60" s="100"/>
    </row>
    <row r="61" spans="1:7" x14ac:dyDescent="0.3">
      <c r="A61" s="30" t="s">
        <v>279</v>
      </c>
      <c r="B61" s="42"/>
      <c r="C61" s="46">
        <f>SUM(C58:C60)</f>
        <v>0</v>
      </c>
    </row>
    <row r="62" spans="1:7" x14ac:dyDescent="0.3">
      <c r="A62" s="91" t="s">
        <v>272</v>
      </c>
      <c r="C62" s="100"/>
    </row>
    <row r="63" spans="1:7" x14ac:dyDescent="0.3">
      <c r="A63" s="91" t="s">
        <v>273</v>
      </c>
      <c r="C63" s="100"/>
    </row>
    <row r="64" spans="1:7" x14ac:dyDescent="0.3">
      <c r="A64" s="91" t="s">
        <v>274</v>
      </c>
      <c r="C64" s="100"/>
    </row>
    <row r="65" spans="1:3" x14ac:dyDescent="0.3">
      <c r="A65" s="30" t="s">
        <v>280</v>
      </c>
      <c r="B65" s="42"/>
      <c r="C65" s="46">
        <f>SUM(C62:C64)</f>
        <v>0</v>
      </c>
    </row>
    <row r="66" spans="1:3" x14ac:dyDescent="0.3">
      <c r="A66" s="91" t="s">
        <v>275</v>
      </c>
      <c r="C66" s="100"/>
    </row>
    <row r="67" spans="1:3" x14ac:dyDescent="0.3">
      <c r="A67" s="91" t="s">
        <v>276</v>
      </c>
      <c r="C67" s="100"/>
    </row>
    <row r="68" spans="1:3" x14ac:dyDescent="0.3">
      <c r="A68" s="91" t="s">
        <v>277</v>
      </c>
      <c r="C68" s="100"/>
    </row>
    <row r="69" spans="1:3" x14ac:dyDescent="0.3">
      <c r="A69" s="30" t="s">
        <v>281</v>
      </c>
      <c r="B69" s="42"/>
      <c r="C69" s="46">
        <f>SUM(C66:C68)</f>
        <v>0</v>
      </c>
    </row>
    <row r="70" spans="1:3" x14ac:dyDescent="0.3">
      <c r="A70" s="30" t="s">
        <v>282</v>
      </c>
      <c r="B70" s="42"/>
      <c r="C70" s="116">
        <f>SUM(C57,C61,C65,C69)</f>
        <v>280000</v>
      </c>
    </row>
  </sheetData>
  <sheetProtection algorithmName="SHA-512" hashValue="pknTO4qJRZ+mTjnPoRLxQii95qxAKqbaELhfgTw+E2CKuk+/Lv2V6m917H36FDH4hocVyqTGuNHIXEgWS8egzw==" saltValue="TnDm1A1PvQGaMTSNXIWwsw==" spinCount="100000" sheet="1" objects="1" scenarios="1"/>
  <pageMargins left="0.7" right="0.7" top="0.78740157499999996" bottom="0.78740157499999996" header="0.3" footer="0.3"/>
  <ignoredErrors>
    <ignoredError sqref="C57" formulaRange="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7:J119"/>
  <sheetViews>
    <sheetView topLeftCell="A4" zoomScale="80" zoomScaleNormal="80" workbookViewId="0">
      <selection activeCell="K19" sqref="K19"/>
    </sheetView>
  </sheetViews>
  <sheetFormatPr baseColWidth="10" defaultRowHeight="13.5" x14ac:dyDescent="0.3"/>
  <cols>
    <col min="1" max="1" width="39.26953125" style="87" customWidth="1"/>
    <col min="2" max="2" width="10.90625" style="87"/>
    <col min="3" max="4" width="14.453125" style="87" bestFit="1" customWidth="1"/>
    <col min="5" max="5" width="17.36328125" style="87" customWidth="1"/>
    <col min="6" max="7" width="16.54296875" style="87" bestFit="1" customWidth="1"/>
    <col min="8" max="16384" width="10.90625" style="87"/>
  </cols>
  <sheetData>
    <row r="7" spans="1:10" x14ac:dyDescent="0.3">
      <c r="A7" s="86" t="s">
        <v>134</v>
      </c>
      <c r="C7" s="88"/>
      <c r="D7" s="88"/>
      <c r="E7" s="88" t="s">
        <v>1</v>
      </c>
      <c r="F7" s="88"/>
      <c r="G7" s="88"/>
    </row>
    <row r="8" spans="1:10" x14ac:dyDescent="0.3">
      <c r="C8" s="88">
        <v>1</v>
      </c>
      <c r="D8" s="88">
        <v>2</v>
      </c>
      <c r="E8" s="88">
        <v>3</v>
      </c>
      <c r="F8" s="88">
        <v>4</v>
      </c>
      <c r="G8" s="88">
        <v>5</v>
      </c>
    </row>
    <row r="9" spans="1:10" x14ac:dyDescent="0.3">
      <c r="A9" s="86" t="s">
        <v>135</v>
      </c>
    </row>
    <row r="10" spans="1:10" x14ac:dyDescent="0.3">
      <c r="A10" s="89" t="s">
        <v>136</v>
      </c>
      <c r="C10" s="90">
        <v>25</v>
      </c>
      <c r="D10" s="90">
        <v>25</v>
      </c>
      <c r="E10" s="90">
        <v>30</v>
      </c>
      <c r="F10" s="90">
        <v>30</v>
      </c>
      <c r="G10" s="90">
        <v>30</v>
      </c>
    </row>
    <row r="11" spans="1:10" x14ac:dyDescent="0.3">
      <c r="A11" s="79" t="s">
        <v>137</v>
      </c>
      <c r="B11" s="92"/>
      <c r="C11" s="93">
        <f>C10/360</f>
        <v>6.9444444444444448E-2</v>
      </c>
      <c r="D11" s="93">
        <f t="shared" ref="D11:G11" si="0">D10/360</f>
        <v>6.9444444444444448E-2</v>
      </c>
      <c r="E11" s="93">
        <f t="shared" si="0"/>
        <v>8.3333333333333329E-2</v>
      </c>
      <c r="F11" s="93">
        <f t="shared" si="0"/>
        <v>8.3333333333333329E-2</v>
      </c>
      <c r="G11" s="93">
        <f t="shared" si="0"/>
        <v>8.3333333333333329E-2</v>
      </c>
    </row>
    <row r="12" spans="1:10" x14ac:dyDescent="0.3">
      <c r="A12" s="65" t="s">
        <v>135</v>
      </c>
      <c r="B12" s="42"/>
      <c r="C12" s="33">
        <f>C54</f>
        <v>207805</v>
      </c>
      <c r="D12" s="33">
        <f t="shared" ref="D12:G12" si="1">D54</f>
        <v>320047.5</v>
      </c>
      <c r="E12" s="33">
        <f t="shared" si="1"/>
        <v>964938</v>
      </c>
      <c r="F12" s="33">
        <f t="shared" si="1"/>
        <v>2116275</v>
      </c>
      <c r="G12" s="33">
        <f t="shared" si="1"/>
        <v>3969840</v>
      </c>
    </row>
    <row r="13" spans="1:10" x14ac:dyDescent="0.3">
      <c r="A13" s="65" t="s">
        <v>138</v>
      </c>
      <c r="B13" s="42"/>
      <c r="C13" s="33">
        <f>-C12</f>
        <v>-207805</v>
      </c>
      <c r="D13" s="33">
        <f>-(D12-C12)</f>
        <v>-112242.5</v>
      </c>
      <c r="E13" s="33">
        <f t="shared" ref="E13:G13" si="2">-(E12-D12)</f>
        <v>-644890.5</v>
      </c>
      <c r="F13" s="33">
        <f t="shared" si="2"/>
        <v>-1151337</v>
      </c>
      <c r="G13" s="33">
        <f t="shared" si="2"/>
        <v>-1853565</v>
      </c>
    </row>
    <row r="14" spans="1:10" x14ac:dyDescent="0.3">
      <c r="J14" s="42"/>
    </row>
    <row r="15" spans="1:10" x14ac:dyDescent="0.3">
      <c r="A15" s="86" t="s">
        <v>139</v>
      </c>
    </row>
    <row r="16" spans="1:10" x14ac:dyDescent="0.3">
      <c r="A16" s="89" t="s">
        <v>140</v>
      </c>
      <c r="C16" s="90">
        <v>20</v>
      </c>
      <c r="D16" s="90">
        <v>20</v>
      </c>
      <c r="E16" s="90">
        <v>24</v>
      </c>
      <c r="F16" s="90">
        <v>20</v>
      </c>
      <c r="G16" s="90">
        <v>15</v>
      </c>
    </row>
    <row r="17" spans="1:7" x14ac:dyDescent="0.3">
      <c r="A17" s="79" t="s">
        <v>31</v>
      </c>
      <c r="B17" s="92"/>
      <c r="C17" s="93">
        <f>C16/360</f>
        <v>5.5555555555555552E-2</v>
      </c>
      <c r="D17" s="93">
        <f t="shared" ref="D17:G17" si="3">D16/360</f>
        <v>5.5555555555555552E-2</v>
      </c>
      <c r="E17" s="93">
        <f t="shared" si="3"/>
        <v>6.6666666666666666E-2</v>
      </c>
      <c r="F17" s="93">
        <f t="shared" si="3"/>
        <v>5.5555555555555552E-2</v>
      </c>
      <c r="G17" s="93">
        <f t="shared" si="3"/>
        <v>4.1666666666666664E-2</v>
      </c>
    </row>
    <row r="18" spans="1:7" x14ac:dyDescent="0.3">
      <c r="A18" s="65" t="s">
        <v>141</v>
      </c>
      <c r="B18" s="42"/>
      <c r="C18" s="27">
        <f>IF(C16&lt;=0,0,ROUND(360/C16,0))</f>
        <v>18</v>
      </c>
      <c r="D18" s="27">
        <f t="shared" ref="D18:G18" si="4">IF(D16&lt;=0,0,ROUND(360/D16,0))</f>
        <v>18</v>
      </c>
      <c r="E18" s="27">
        <f t="shared" si="4"/>
        <v>15</v>
      </c>
      <c r="F18" s="27">
        <f t="shared" si="4"/>
        <v>18</v>
      </c>
      <c r="G18" s="27">
        <f t="shared" si="4"/>
        <v>24</v>
      </c>
    </row>
    <row r="19" spans="1:7" x14ac:dyDescent="0.3">
      <c r="A19" s="65" t="s">
        <v>139</v>
      </c>
      <c r="B19" s="42"/>
      <c r="C19" s="33">
        <f>C70</f>
        <v>166244</v>
      </c>
      <c r="D19" s="33">
        <f t="shared" ref="D19:G19" si="5">D70</f>
        <v>256038</v>
      </c>
      <c r="E19" s="33">
        <f t="shared" si="5"/>
        <v>771950.4</v>
      </c>
      <c r="F19" s="33">
        <f t="shared" si="5"/>
        <v>1410850</v>
      </c>
      <c r="G19" s="33">
        <f t="shared" si="5"/>
        <v>1984920</v>
      </c>
    </row>
    <row r="20" spans="1:7" x14ac:dyDescent="0.3">
      <c r="A20" s="65" t="s">
        <v>138</v>
      </c>
      <c r="B20" s="42"/>
      <c r="C20" s="33">
        <f>-C19</f>
        <v>-166244</v>
      </c>
      <c r="D20" s="33">
        <f>-(D19-C19)</f>
        <v>-89794</v>
      </c>
      <c r="E20" s="33">
        <f t="shared" ref="E20:G20" si="6">-(E19-D19)</f>
        <v>-515912.4</v>
      </c>
      <c r="F20" s="33">
        <f t="shared" si="6"/>
        <v>-638899.6</v>
      </c>
      <c r="G20" s="33">
        <f t="shared" si="6"/>
        <v>-574070</v>
      </c>
    </row>
    <row r="22" spans="1:7" x14ac:dyDescent="0.3">
      <c r="A22" s="86" t="s">
        <v>142</v>
      </c>
      <c r="C22" s="91"/>
      <c r="D22" s="91"/>
      <c r="E22" s="91"/>
      <c r="F22" s="91"/>
      <c r="G22" s="91"/>
    </row>
    <row r="23" spans="1:7" x14ac:dyDescent="0.3">
      <c r="A23" s="89" t="s">
        <v>136</v>
      </c>
      <c r="C23" s="90">
        <v>4</v>
      </c>
      <c r="D23" s="90">
        <v>4</v>
      </c>
      <c r="E23" s="90">
        <v>4</v>
      </c>
      <c r="F23" s="90">
        <v>4</v>
      </c>
      <c r="G23" s="90">
        <v>4</v>
      </c>
    </row>
    <row r="24" spans="1:7" x14ac:dyDescent="0.3">
      <c r="A24" s="79" t="s">
        <v>137</v>
      </c>
      <c r="B24" s="42"/>
      <c r="C24" s="83">
        <f>C23/360</f>
        <v>1.1111111111111112E-2</v>
      </c>
      <c r="D24" s="83">
        <f t="shared" ref="D24:G24" si="7">D23/360</f>
        <v>1.1111111111111112E-2</v>
      </c>
      <c r="E24" s="83">
        <f t="shared" si="7"/>
        <v>1.1111111111111112E-2</v>
      </c>
      <c r="F24" s="83">
        <f t="shared" si="7"/>
        <v>1.1111111111111112E-2</v>
      </c>
      <c r="G24" s="83">
        <f t="shared" si="7"/>
        <v>1.1111111111111112E-2</v>
      </c>
    </row>
    <row r="25" spans="1:7" x14ac:dyDescent="0.3">
      <c r="A25" s="65" t="s">
        <v>142</v>
      </c>
      <c r="B25" s="42"/>
      <c r="C25" s="33">
        <f>C86</f>
        <v>33248.800000000003</v>
      </c>
      <c r="D25" s="33">
        <f t="shared" ref="D25:G25" si="8">D86</f>
        <v>51207.6</v>
      </c>
      <c r="E25" s="33">
        <f t="shared" si="8"/>
        <v>128658.4</v>
      </c>
      <c r="F25" s="33">
        <f t="shared" si="8"/>
        <v>282170</v>
      </c>
      <c r="G25" s="33">
        <f t="shared" si="8"/>
        <v>529312</v>
      </c>
    </row>
    <row r="26" spans="1:7" x14ac:dyDescent="0.3">
      <c r="A26" s="65" t="s">
        <v>138</v>
      </c>
      <c r="B26" s="42"/>
      <c r="C26" s="33">
        <f>-C25</f>
        <v>-33248.800000000003</v>
      </c>
      <c r="D26" s="33">
        <f>-(D25-C25)</f>
        <v>-17958.799999999996</v>
      </c>
      <c r="E26" s="33">
        <f t="shared" ref="E26:G26" si="9">-(E25-D25)</f>
        <v>-77450.799999999988</v>
      </c>
      <c r="F26" s="33">
        <f t="shared" si="9"/>
        <v>-153511.6</v>
      </c>
      <c r="G26" s="33">
        <f t="shared" si="9"/>
        <v>-247142</v>
      </c>
    </row>
    <row r="28" spans="1:7" x14ac:dyDescent="0.3">
      <c r="A28" s="86" t="s">
        <v>143</v>
      </c>
    </row>
    <row r="29" spans="1:7" x14ac:dyDescent="0.3">
      <c r="A29" s="89" t="s">
        <v>136</v>
      </c>
      <c r="C29" s="90">
        <v>30</v>
      </c>
      <c r="D29" s="90">
        <v>30</v>
      </c>
      <c r="E29" s="90">
        <v>30</v>
      </c>
      <c r="F29" s="90">
        <v>30</v>
      </c>
      <c r="G29" s="90">
        <v>30</v>
      </c>
    </row>
    <row r="30" spans="1:7" x14ac:dyDescent="0.3">
      <c r="A30" s="79" t="s">
        <v>137</v>
      </c>
      <c r="B30" s="92"/>
      <c r="C30" s="93">
        <f>C29/360</f>
        <v>8.3333333333333329E-2</v>
      </c>
      <c r="D30" s="93">
        <f t="shared" ref="D30:G30" si="10">D29/360</f>
        <v>8.3333333333333329E-2</v>
      </c>
      <c r="E30" s="93">
        <f t="shared" si="10"/>
        <v>8.3333333333333329E-2</v>
      </c>
      <c r="F30" s="93">
        <f t="shared" si="10"/>
        <v>8.3333333333333329E-2</v>
      </c>
      <c r="G30" s="93">
        <f t="shared" si="10"/>
        <v>8.3333333333333329E-2</v>
      </c>
    </row>
    <row r="31" spans="1:7" x14ac:dyDescent="0.3">
      <c r="A31" s="65" t="s">
        <v>143</v>
      </c>
      <c r="B31" s="42"/>
      <c r="C31" s="33">
        <f>C102</f>
        <v>249366</v>
      </c>
      <c r="D31" s="33">
        <f t="shared" ref="D31:G31" si="11">D102</f>
        <v>384057</v>
      </c>
      <c r="E31" s="33">
        <f t="shared" si="11"/>
        <v>964938</v>
      </c>
      <c r="F31" s="33">
        <f t="shared" si="11"/>
        <v>2116275</v>
      </c>
      <c r="G31" s="33">
        <f t="shared" si="11"/>
        <v>3969840</v>
      </c>
    </row>
    <row r="32" spans="1:7" x14ac:dyDescent="0.3">
      <c r="A32" s="65" t="s">
        <v>144</v>
      </c>
      <c r="B32" s="42"/>
      <c r="C32" s="33">
        <f>C31</f>
        <v>249366</v>
      </c>
      <c r="D32" s="33">
        <f>D31-C31</f>
        <v>134691</v>
      </c>
      <c r="E32" s="33">
        <f t="shared" ref="E32:G32" si="12">E31-D31</f>
        <v>580881</v>
      </c>
      <c r="F32" s="33">
        <f t="shared" si="12"/>
        <v>1151337</v>
      </c>
      <c r="G32" s="33">
        <f t="shared" si="12"/>
        <v>1853565</v>
      </c>
    </row>
    <row r="34" spans="1:7" x14ac:dyDescent="0.3">
      <c r="A34" s="86" t="s">
        <v>145</v>
      </c>
    </row>
    <row r="35" spans="1:7" x14ac:dyDescent="0.3">
      <c r="A35" s="89" t="s">
        <v>146</v>
      </c>
      <c r="C35" s="90">
        <v>4</v>
      </c>
      <c r="D35" s="90">
        <v>4</v>
      </c>
      <c r="E35" s="90">
        <v>4</v>
      </c>
      <c r="F35" s="90">
        <v>4</v>
      </c>
      <c r="G35" s="90">
        <v>4</v>
      </c>
    </row>
    <row r="36" spans="1:7" x14ac:dyDescent="0.3">
      <c r="A36" s="79" t="s">
        <v>31</v>
      </c>
      <c r="B36" s="92"/>
      <c r="C36" s="93">
        <f>C35/360</f>
        <v>1.1111111111111112E-2</v>
      </c>
      <c r="D36" s="93">
        <f t="shared" ref="D36:G36" si="13">D35/360</f>
        <v>1.1111111111111112E-2</v>
      </c>
      <c r="E36" s="93">
        <f t="shared" si="13"/>
        <v>1.1111111111111112E-2</v>
      </c>
      <c r="F36" s="93">
        <f t="shared" si="13"/>
        <v>1.1111111111111112E-2</v>
      </c>
      <c r="G36" s="93">
        <f t="shared" si="13"/>
        <v>1.1111111111111112E-2</v>
      </c>
    </row>
    <row r="37" spans="1:7" x14ac:dyDescent="0.3">
      <c r="A37" s="65" t="s">
        <v>145</v>
      </c>
      <c r="B37" s="42"/>
      <c r="C37" s="33">
        <f>C118</f>
        <v>33248.800000000003</v>
      </c>
      <c r="D37" s="33">
        <f t="shared" ref="D37:G37" si="14">D118</f>
        <v>51207.6</v>
      </c>
      <c r="E37" s="33">
        <f t="shared" si="14"/>
        <v>128658.4</v>
      </c>
      <c r="F37" s="33">
        <f t="shared" si="14"/>
        <v>282170</v>
      </c>
      <c r="G37" s="33">
        <f t="shared" si="14"/>
        <v>529312</v>
      </c>
    </row>
    <row r="38" spans="1:7" x14ac:dyDescent="0.3">
      <c r="A38" s="65" t="s">
        <v>144</v>
      </c>
      <c r="B38" s="42"/>
      <c r="C38" s="33">
        <f>C37</f>
        <v>33248.800000000003</v>
      </c>
      <c r="D38" s="33">
        <f>D37-C37</f>
        <v>17958.799999999996</v>
      </c>
      <c r="E38" s="33">
        <f t="shared" ref="E38:G38" si="15">E37-D37</f>
        <v>77450.799999999988</v>
      </c>
      <c r="F38" s="33">
        <f t="shared" si="15"/>
        <v>153511.6</v>
      </c>
      <c r="G38" s="33">
        <f t="shared" si="15"/>
        <v>247142</v>
      </c>
    </row>
    <row r="40" spans="1:7" x14ac:dyDescent="0.3">
      <c r="A40" s="61"/>
      <c r="B40" s="61"/>
      <c r="C40" s="61"/>
      <c r="D40" s="61"/>
      <c r="E40" s="61"/>
      <c r="F40" s="61"/>
      <c r="G40" s="61"/>
    </row>
    <row r="41" spans="1:7" x14ac:dyDescent="0.3">
      <c r="A41" s="50" t="s">
        <v>235</v>
      </c>
      <c r="B41" s="61"/>
      <c r="C41" s="61"/>
      <c r="D41" s="94"/>
      <c r="E41" s="94"/>
      <c r="F41" s="94"/>
      <c r="G41" s="94"/>
    </row>
    <row r="42" spans="1:7" x14ac:dyDescent="0.3">
      <c r="A42" s="61"/>
      <c r="B42" s="61"/>
      <c r="C42" s="95" t="s">
        <v>236</v>
      </c>
      <c r="D42" s="94"/>
      <c r="E42" s="94"/>
      <c r="F42" s="94"/>
      <c r="G42" s="94"/>
    </row>
    <row r="43" spans="1:7" x14ac:dyDescent="0.3">
      <c r="A43" s="61"/>
      <c r="B43" s="61"/>
      <c r="C43" s="66">
        <f>IF(C$10&lt;=30,C$10/30*REVENUE!B53,0)+IF(AND(30&lt;C$10,C$10&lt;=60),REVENUE!B53,0)+IF(AND(60&lt;C$10,C$10&lt;=90),REVENUE!B53,0)+IF(AND(90&lt;C$10,C$10&lt;=120),REVENUE!B53,0)</f>
        <v>207555.83333333334</v>
      </c>
      <c r="D43" s="66"/>
      <c r="E43" s="66"/>
      <c r="F43" s="66"/>
      <c r="G43" s="66"/>
    </row>
    <row r="44" spans="1:7" x14ac:dyDescent="0.3">
      <c r="A44" s="61"/>
      <c r="B44" s="61"/>
      <c r="C44" s="66">
        <f>IF(C$10&lt;=30,C$10/30*REVENUE!B54,0)+IF(AND(30&lt;C$10,C$10&lt;=60),REVENUE!B54+(C$10-30)/30*REVENUE!B53,0)+IF(AND(60&lt;C$10,C$10&lt;=90),REVENUE!B54+REVENUE!B53,0)+IF(AND(90&lt;C$10,C$10&lt;=120),REVENUE!B54+REVENUE!B53,0)</f>
        <v>207555.83333333334</v>
      </c>
      <c r="D44" s="66"/>
      <c r="E44" s="66"/>
      <c r="F44" s="66"/>
      <c r="G44" s="66"/>
    </row>
    <row r="45" spans="1:7" x14ac:dyDescent="0.3">
      <c r="A45" s="61"/>
      <c r="B45" s="61"/>
      <c r="C45" s="66">
        <f>IF(C$10&lt;=30,C$10/30*REVENUE!B55,0)+IF(AND(30&lt;C$10,C$10&lt;=60),REVENUE!B55+(C$10-30)/30*REVENUE!B54,0)+IF(AND(60&lt;C$10,C$10&lt;=90),REVENUE!B55+REVENUE!B54+(C$10-60)/30*REVENUE!B52,0)+IF(AND(90&lt;C$10,C$10&lt;=120),REVENUE!B55+REVENUE!B54+REVENUE!B53,0)</f>
        <v>207555.83333333334</v>
      </c>
      <c r="D45" s="66"/>
      <c r="E45" s="66"/>
      <c r="F45" s="66"/>
      <c r="G45" s="66"/>
    </row>
    <row r="46" spans="1:7" x14ac:dyDescent="0.3">
      <c r="A46" s="61"/>
      <c r="B46" s="61"/>
      <c r="C46" s="66">
        <f>IF(C$10&lt;=30,C$10/30*REVENUE!B57,0)+IF(AND(30&lt;C$10,C$10&lt;=60),REVENUE!B57+(C$10-30)/30*REVENUE!B55,0)+IF(AND(60&lt;C$10,C$10&lt;=90),REVENUE!B57+REVENUE!B55+(C$10-60)/30*REVENUE!B54,0)+IF(AND(90&lt;C$10,C$10&lt;=120),REVENUE!B57+REVENUE!B55+REVENUE!B54(C$10-90)/30*REVENUE!B53,0)</f>
        <v>207555.83333333334</v>
      </c>
      <c r="D46" s="66"/>
      <c r="E46" s="66"/>
      <c r="F46" s="66"/>
      <c r="G46" s="66"/>
    </row>
    <row r="47" spans="1:7" x14ac:dyDescent="0.3">
      <c r="A47" s="61"/>
      <c r="B47" s="61"/>
      <c r="C47" s="66">
        <f>IF(C$10&lt;=30,C$10/30*REVENUE!B58,0)+IF(AND(30&lt;C$10,C$10&lt;=60),REVENUE!B58+(C$10-30)/30*REVENUE!B57,0)+IF(AND(60&lt;C$10,C$10&lt;=90),REVENUE!B58+REVENUE!B57+(C$10-60)/30*REVENUE!B55,0)+IF(AND(90&lt;C$10,C$10&lt;=120),REVENUE!B58+REVENUE!B57+REVENUE!B55(C$10-90)/30*REVENUE!B54,0)</f>
        <v>207555.83333333334</v>
      </c>
      <c r="D47" s="66"/>
      <c r="E47" s="66"/>
      <c r="F47" s="66"/>
      <c r="G47" s="66"/>
    </row>
    <row r="48" spans="1:7" x14ac:dyDescent="0.3">
      <c r="A48" s="61"/>
      <c r="B48" s="61"/>
      <c r="C48" s="66">
        <f>IF(C$10&lt;=30,C$10/30*REVENUE!B59,0)+IF(AND(30&lt;C$10,C$10&lt;=60),REVENUE!B59+(C$10-30)/30*REVENUE!B58,0)+IF(AND(60&lt;C$10,C$10&lt;=90),REVENUE!B59+REVENUE!B58+(C$10-60)/30*REVENUE!B57,0)+IF(AND(90&lt;C$10,C$10&lt;=120),REVENUE!B59+REVENUE!B58+REVENUE!B57(C$10-90)/30*REVENUE!B55,0)</f>
        <v>207555.83333333334</v>
      </c>
      <c r="D48" s="66"/>
      <c r="E48" s="66"/>
      <c r="F48" s="66"/>
      <c r="G48" s="66"/>
    </row>
    <row r="49" spans="1:7" x14ac:dyDescent="0.3">
      <c r="A49" s="61"/>
      <c r="B49" s="61"/>
      <c r="C49" s="66">
        <f>IF(C$10&lt;=30,C$10/30*REVENUE!B61,0)+IF(AND(30&lt;C$10,C$10&lt;=60),REVENUE!B61+(C$10-30)/30*REVENUE!B59,0)+IF(AND(60&lt;C$10,C$10&lt;=90),REVENUE!B61+REVENUE!B59+(C$10-60)/30*REVENUE!B58,0)+IF(AND(90&lt;C$10,C$10&lt;=120),REVENUE!B61+REVENUE!B59+REVENUE!B58(C$10-90)/30*REVENUE!B57,0)</f>
        <v>207555.83333333334</v>
      </c>
      <c r="D49" s="66"/>
      <c r="E49" s="66"/>
      <c r="F49" s="66"/>
      <c r="G49" s="66"/>
    </row>
    <row r="50" spans="1:7" x14ac:dyDescent="0.3">
      <c r="A50" s="61"/>
      <c r="B50" s="61"/>
      <c r="C50" s="66">
        <f>IF(C$10&lt;=30,C$10/30*REVENUE!B62,0)+IF(AND(30&lt;C$10,C$10&lt;=60),REVENUE!B62+(C$10-30)/30*REVENUE!B61,0)+IF(AND(60&lt;C$10,C$10&lt;=90),REVENUE!B62+REVENUE!B61+(C$10-60)/30*REVENUE!B59,0)+IF(AND(90&lt;C$10,C$10&lt;=120),REVENUE!B62+REVENUE!B61+REVENUE!B59(C$10-90)/30*REVENUE!B58,0)</f>
        <v>207555.83333333334</v>
      </c>
      <c r="D50" s="66"/>
      <c r="E50" s="66"/>
      <c r="F50" s="66"/>
      <c r="G50" s="66"/>
    </row>
    <row r="51" spans="1:7" x14ac:dyDescent="0.3">
      <c r="A51" s="61"/>
      <c r="B51" s="61"/>
      <c r="C51" s="66">
        <f>IF(C$10&lt;=30,C$10/30*REVENUE!B63,0)+IF(AND(30&lt;C$10,C$10&lt;=60),REVENUE!B63+(C$10-30)/30*REVENUE!B62,0)+IF(AND(60&lt;C$10,C$10&lt;=90),REVENUE!B63+REVENUE!B62+(C$10-60)/30*REVENUE!B61,0)+IF(AND(90&lt;C$10,C$10&lt;=120),REVENUE!B63+REVENUE!B62+REVENUE!B61(C$10-90)/30*REVENUE!B59,0)</f>
        <v>207805</v>
      </c>
      <c r="D51" s="66"/>
      <c r="E51" s="66"/>
      <c r="F51" s="66"/>
      <c r="G51" s="66"/>
    </row>
    <row r="52" spans="1:7" x14ac:dyDescent="0.3">
      <c r="A52" s="61"/>
      <c r="B52" s="61"/>
      <c r="C52" s="66">
        <f>IF(C$10&lt;=30,C$10/30*REVENUE!B65,0)+IF(AND(30&lt;C$10,C$10&lt;=60),REVENUE!B65+(C$10-30)/30*REVENUE!B63,0)+IF(AND(60&lt;C$10,C$10&lt;=90),REVENUE!B65+REVENUE!B63+(C$10-60)/30*REVENUE!B62,0)+IF(AND(90&lt;C$10,C$10&lt;=120),REVENUE!B65+REVENUE!B63+REVENUE!B62(C$10-90)/30*REVENUE!B61,0)</f>
        <v>207805</v>
      </c>
      <c r="D52" s="66"/>
      <c r="E52" s="66"/>
      <c r="F52" s="66"/>
      <c r="G52" s="66"/>
    </row>
    <row r="53" spans="1:7" x14ac:dyDescent="0.3">
      <c r="A53" s="61"/>
      <c r="B53" s="61"/>
      <c r="C53" s="66">
        <f>IF(C$10&lt;=30,C$10/30*REVENUE!B66,0)+IF(AND(30&lt;C$10,C$10&lt;=60),REVENUE!B66+(C$10-30)/30*REVENUE!B65,0)+IF(AND(60&lt;C$10,C$10&lt;=90),REVENUE!B66+REVENUE!B65+(C$10-60)/30*REVENUE!B63,0)+IF(AND(90&lt;C$10,C$10&lt;=120),REVENUE!B66+REVENUE!B65+REVENUE!B63(C$10-90)/30*REVENUE!B62,0)</f>
        <v>207805</v>
      </c>
      <c r="D53" s="66"/>
      <c r="E53" s="66"/>
      <c r="F53" s="66"/>
      <c r="G53" s="66"/>
    </row>
    <row r="54" spans="1:7" x14ac:dyDescent="0.3">
      <c r="A54" s="61"/>
      <c r="B54" s="61"/>
      <c r="C54" s="66">
        <f>IF(C$10&lt;=30,C$10/30*REVENUE!B67,0)+IF(AND(30&lt;C$10,C$10&lt;=60),REVENUE!B67+(C$10-30)/30*REVENUE!B66,0)+IF(AND(60&lt;C$10,C$10&lt;=90),REVENUE!B67+REVENUE!B66+(C$10-60)/30*REVENUE!B65,0)+IF(AND(90&lt;C$10,C$10&lt;=120),REVENUE!B67+REVENUE!B66+REVENUE!B65(C$10-90)/30*REVENUE!B63,0)</f>
        <v>207805</v>
      </c>
      <c r="D54" s="66">
        <f>IF(D$10&lt;=30,D$10/30*REVENUE!C67,0)+IF(AND(30&lt;D$10,D$10&lt;=60),REVENUE!C67+(D$10-30)/30*REVENUE!C66,0)+IF(AND(60&lt;D$10,D$10&lt;=90),REVENUE!C67+REVENUE!C66+(D$10-60)/30*REVENUE!C65,0)+IF(AND(90&lt;D$10,D$10&lt;=120),REVENUE!C67+REVENUE!C66+REVENUE!C65(D$10-90)/30*REVENUE!C63,0)</f>
        <v>320047.5</v>
      </c>
      <c r="E54" s="66">
        <f>IF(E$10&lt;=30,E$10/30*REVENUE!D67,0)+IF(AND(30&lt;E$10,E$10&lt;=60),REVENUE!D67+(E$10-30)/30*REVENUE!D66,0)+IF(AND(60&lt;E$10,E$10&lt;=90),REVENUE!D67+REVENUE!D66+(E$10-60)/30*REVENUE!D65,0)+IF(AND(90&lt;E$10,E$10&lt;=120),REVENUE!D67+REVENUE!D66+REVENUE!D65(E$10-90)/30*REVENUE!D63,0)</f>
        <v>964938</v>
      </c>
      <c r="F54" s="66">
        <f>IF(F$10&lt;=30,F$10/30*REVENUE!E67,0)+IF(AND(30&lt;F$10,F$10&lt;=60),REVENUE!E67+(F$10-30)/30*REVENUE!E66,0)+IF(AND(60&lt;F$10,F$10&lt;=90),REVENUE!E67+REVENUE!E66+(F$10-60)/30*REVENUE!E65,0)+IF(AND(90&lt;F$10,F$10&lt;=120),REVENUE!E67+REVENUE!E66+REVENUE!E65(F$10-90)/30*REVENUE!E63,0)</f>
        <v>2116275</v>
      </c>
      <c r="G54" s="66">
        <f>IF(G$10&lt;=30,G$10/30*REVENUE!F67,0)+IF(AND(30&lt;G$10,G$10&lt;=60),REVENUE!F67+(G$10-30)/30*REVENUE!F66,0)+IF(AND(60&lt;G$10,G$10&lt;=90),REVENUE!F67+REVENUE!F66+(G$10-60)/30*REVENUE!F65,0)+IF(AND(90&lt;G$10,G$10&lt;=120),REVENUE!F67+REVENUE!F66+REVENUE!F65(G$10-90)/30*REVENUE!F63,0)</f>
        <v>3969840</v>
      </c>
    </row>
    <row r="55" spans="1:7" x14ac:dyDescent="0.3">
      <c r="A55" s="61"/>
      <c r="B55" s="61"/>
      <c r="C55" s="61"/>
      <c r="D55" s="61"/>
      <c r="E55" s="61"/>
      <c r="F55" s="61"/>
      <c r="G55" s="61"/>
    </row>
    <row r="56" spans="1:7" x14ac:dyDescent="0.3">
      <c r="A56" s="61"/>
      <c r="B56" s="61"/>
      <c r="C56" s="61"/>
      <c r="D56" s="61"/>
      <c r="E56" s="61"/>
      <c r="F56" s="61"/>
      <c r="G56" s="61"/>
    </row>
    <row r="57" spans="1:7" x14ac:dyDescent="0.3">
      <c r="A57" s="61"/>
      <c r="B57" s="61"/>
      <c r="C57" s="61"/>
      <c r="D57" s="94"/>
      <c r="E57" s="94"/>
      <c r="F57" s="94"/>
      <c r="G57" s="94"/>
    </row>
    <row r="58" spans="1:7" x14ac:dyDescent="0.3">
      <c r="A58" s="61"/>
      <c r="B58" s="61"/>
      <c r="C58" s="95" t="s">
        <v>237</v>
      </c>
      <c r="D58" s="94"/>
      <c r="E58" s="94"/>
      <c r="F58" s="94"/>
      <c r="G58" s="94"/>
    </row>
    <row r="59" spans="1:7" x14ac:dyDescent="0.3">
      <c r="A59" s="61"/>
      <c r="B59" s="61"/>
      <c r="C59" s="66">
        <f>IF(C$16&lt;=30,C$16/30*REVENUE!B53,0)+IF(AND(30&lt;C$16,C$16&lt;=60),REVENUE!B53,0)+IF(AND(60&lt;C$16,C$16&lt;=90),REVENUE!B53,0)+IF(AND(90&lt;C$16,C$16&lt;=120),REVENUE!B53,0)</f>
        <v>166044.66666666666</v>
      </c>
      <c r="D59" s="66"/>
      <c r="E59" s="66"/>
      <c r="F59" s="66"/>
      <c r="G59" s="66"/>
    </row>
    <row r="60" spans="1:7" x14ac:dyDescent="0.3">
      <c r="A60" s="61"/>
      <c r="B60" s="61"/>
      <c r="C60" s="66">
        <f>IF(C$16&lt;=30,C$16/30*REVENUE!B54,0)+IF(AND(30&lt;C$16,C$16&lt;=60),REVENUE!B54+(C$16-30)/30*REVENUE!B53,0)+IF(AND(60&lt;C$16,C$16&lt;=90),REVENUE!B54+REVENUE!B53,0)+IF(AND(90&lt;C$16,C$16&lt;=120),REVENUE!B54+REVENUE!B53,0)</f>
        <v>166044.66666666666</v>
      </c>
      <c r="D60" s="66"/>
      <c r="E60" s="66"/>
      <c r="F60" s="66"/>
      <c r="G60" s="66"/>
    </row>
    <row r="61" spans="1:7" x14ac:dyDescent="0.3">
      <c r="A61" s="61"/>
      <c r="B61" s="61"/>
      <c r="C61" s="66">
        <f>IF(C$16&lt;=30,C$16/30*REVENUE!B55,0)+IF(AND(30&lt;C$16,C$16&lt;=60),REVENUE!B55+(C$16-30)/30*REVENUE!B54,0)+IF(AND(60&lt;C$16,C$16&lt;=90),REVENUE!B55+REVENUE!B54+(C$16-60)/30*REVENUEB53,0)+IF(AND(90&lt;C$16,C$16&lt;=120),REVENUE!B55+REVENUE!B54+REVENUE!B53,0)</f>
        <v>166044.66666666666</v>
      </c>
      <c r="D61" s="66"/>
      <c r="E61" s="66"/>
      <c r="F61" s="66"/>
      <c r="G61" s="66"/>
    </row>
    <row r="62" spans="1:7" x14ac:dyDescent="0.3">
      <c r="A62" s="61"/>
      <c r="B62" s="61"/>
      <c r="C62" s="66">
        <f>IF(C$16&lt;=30,C$16/30*REVENUE!B57,0)+IF(AND(30&lt;C$16,C$16&lt;=60),REVENUE!B57+(C$16-30)/30*REVENUE!B55,0)+IF(AND(60&lt;C$16,C$16&lt;=90),REVENUE!B57+REVENUE!B55+(C$16-60)/30*REVENUE!B54,0)+IF(AND(90&lt;C$16,C$16&lt;=120),REVENUE!B57+REVENUE!B55+REVENUE!B54+(C$16-90)/30*REVENUE!B53,0)</f>
        <v>166044.66666666666</v>
      </c>
      <c r="D62" s="66"/>
      <c r="E62" s="66"/>
      <c r="F62" s="66"/>
      <c r="G62" s="66"/>
    </row>
    <row r="63" spans="1:7" x14ac:dyDescent="0.3">
      <c r="A63" s="61"/>
      <c r="B63" s="61"/>
      <c r="C63" s="66">
        <f>IF(C$16&lt;=30,C$16/30*REVENUE!B58,0)+IF(AND(30&lt;C$16,C$16&lt;=60),REVENUE!B58+(C$16-30)/30*REVENUE!B57,0)+IF(AND(60&lt;C$16,C$16&lt;=90),REVENUE!B58+REVENUE!B57+(C$16-60)/30*REVENUE!B55,0)+IF(AND(90&lt;C$16,C$16&lt;=120),REVENUE!B58+REVENUE!B57+REVENUE!B55+(C$16-90)/30*REVENUE!B54,0)</f>
        <v>166044.66666666666</v>
      </c>
      <c r="D63" s="66"/>
      <c r="E63" s="66"/>
      <c r="F63" s="66"/>
      <c r="G63" s="66"/>
    </row>
    <row r="64" spans="1:7" x14ac:dyDescent="0.3">
      <c r="A64" s="61"/>
      <c r="B64" s="61"/>
      <c r="C64" s="66">
        <f>IF(C$16&lt;=30,C$16/30*REVENUE!B59,0)+IF(AND(30&lt;C$16,C$16&lt;=60),REVENUE!B59+(C$16-30)/30*REVENUE!B58,0)+IF(AND(60&lt;C$16,C$16&lt;=90),REVENUE!B59+REVENUE!B58+(C$16-60)/30*REVENUE!B57,0)+IF(AND(90&lt;C$16,C$16&lt;=120),REVENUE!B59+REVENUE!B58+REVENUE!B57+(C$16-90)/30*REVENUE!B55,0)</f>
        <v>166044.66666666666</v>
      </c>
      <c r="D64" s="66"/>
      <c r="E64" s="66"/>
      <c r="F64" s="66"/>
      <c r="G64" s="66"/>
    </row>
    <row r="65" spans="1:7" x14ac:dyDescent="0.3">
      <c r="A65" s="61"/>
      <c r="B65" s="61"/>
      <c r="C65" s="66">
        <f>IF(C$16&lt;=30,C$16/30*REVENUE!B61,0)+IF(AND(30&lt;C$16,C$16&lt;=60),REVENUE!B61+(C$16-30)/30*REVENUE!B59,0)+IF(AND(60&lt;C$16,C$16&lt;=90),REVENUE!B61+REVENUE!B59+(C$16-60)/30*REVENUE!B58,0)+IF(AND(90&lt;C$16,C$16&lt;=120),REVENUE!B61+REVENUE!B59+REVENUE!B58+(C$16-90)/30*REVENUE!B57,0)</f>
        <v>166044.66666666666</v>
      </c>
      <c r="D65" s="66"/>
      <c r="E65" s="66"/>
      <c r="F65" s="66"/>
      <c r="G65" s="66"/>
    </row>
    <row r="66" spans="1:7" x14ac:dyDescent="0.3">
      <c r="A66" s="61"/>
      <c r="B66" s="61"/>
      <c r="C66" s="66">
        <f>IF(C$16&lt;=30,C$16/30*REVENUE!B62,0)+IF(AND(30&lt;C$16,C$16&lt;=60),REVENUE!B62+(C$16-30)/30*REVENUE!B61,0)+IF(AND(60&lt;C$16,C$16&lt;=90),REVENUE!B62+REVENUE!B61+(C$16-60)/30*REVENUE!B59,0)+IF(AND(90&lt;C$16,C$16&lt;=120),REVENUE!B62+REVENUE!B61+REVENUE!B59+(C$16-90)/30*REVENUE!B58,0)</f>
        <v>166044.66666666666</v>
      </c>
      <c r="D66" s="66"/>
      <c r="E66" s="66"/>
      <c r="F66" s="66"/>
      <c r="G66" s="66"/>
    </row>
    <row r="67" spans="1:7" x14ac:dyDescent="0.3">
      <c r="A67" s="61"/>
      <c r="B67" s="61"/>
      <c r="C67" s="66">
        <f>IF(C$16&lt;=30,C$16/30*REVENUE!B63,0)+IF(AND(30&lt;C$16,C$16&lt;=60),REVENUE!B63+(C$16-30)/30*REVENUE!B62,0)+IF(AND(60&lt;C$16,C$16&lt;=90),REVENUE!B63+REVENUE!B62+(C$16-60)/30*REVENUE!B61,0)+IF(AND(90&lt;C$16,C$16&lt;=120),REVENUE!B63+REVENUE!B62+REVENUE!B61+(C$16-90)/30*REVENUE!B59,0)</f>
        <v>166244</v>
      </c>
      <c r="D67" s="66"/>
      <c r="E67" s="66"/>
      <c r="F67" s="66"/>
      <c r="G67" s="66"/>
    </row>
    <row r="68" spans="1:7" x14ac:dyDescent="0.3">
      <c r="A68" s="61"/>
      <c r="B68" s="61"/>
      <c r="C68" s="66">
        <f>IF(C$16&lt;=30,C$16/30*REVENUE!B65,0)+IF(AND(30&lt;C$16,C$16&lt;=60),REVENUE!B65+(C$16-30)/30*REVENUE!B63,0)+IF(AND(60&lt;C$16,C$16&lt;=90),REVENUE!B65+REVENUE!B63+(C$16-60)/30*REVENUE!B62,0)+IF(AND(90&lt;C$16,C$16&lt;=120),REVENUE!B65+REVENUE!B63+REVENUE!B62+(C$16-90)/30*REVENUE!B61,0)</f>
        <v>166244</v>
      </c>
      <c r="D68" s="66"/>
      <c r="E68" s="66"/>
      <c r="F68" s="66"/>
      <c r="G68" s="66"/>
    </row>
    <row r="69" spans="1:7" x14ac:dyDescent="0.3">
      <c r="A69" s="61"/>
      <c r="B69" s="61"/>
      <c r="C69" s="66">
        <f>IF(C$16&lt;=30,C$16/30*REVENUE!B66,0)+IF(AND(30&lt;C$16,C$16&lt;=60),REVENUE!B66+(C$16-30)/30*REVENUE!B65,0)+IF(AND(60&lt;C$16,C$16&lt;=90),REVENUE!B66+REVENUE!B65+(C$16-60)/30*REVENUE!B63,0)+IF(AND(90&lt;C$16,C$16&lt;=120),REVENUE!B66+REVENUE!B65+REVENUE!B63+(C$16-90)/30*REVENUE!B62,0)</f>
        <v>166244</v>
      </c>
      <c r="D69" s="66"/>
      <c r="E69" s="66"/>
      <c r="F69" s="66"/>
      <c r="G69" s="66"/>
    </row>
    <row r="70" spans="1:7" x14ac:dyDescent="0.3">
      <c r="A70" s="61"/>
      <c r="B70" s="61"/>
      <c r="C70" s="66">
        <f>IF(C$16&lt;=30,C$16/30*REVENUE!B67,0)+IF(AND(30&lt;C$16,C$16&lt;=60),REVENUE!B67+(C$16-30)/30*REVENUE!B66,0)+IF(AND(60&lt;C$16,C$16&lt;=90),REVENUE!B67+REVENUE!B66+(C$16-60)/30*REVENUE!B65,0)+IF(AND(90&lt;C$16,C$16&lt;=120),REVENUE!B67+REVENUE!B66+REVENUE!B65+(C$16-90)/30*REVENUE!B63,0)</f>
        <v>166244</v>
      </c>
      <c r="D70" s="66">
        <f>IF(D$16&lt;=30,D$16/30*REVENUE!C67,0)+IF(AND(30&lt;D$16,D$16&lt;=60),REVENUE!C67+(D$16-30)/30*REVENUE!C66,0)+IF(AND(60&lt;D$16,D$16&lt;=90),REVENUE!C67+REVENUE!C66+(D$16-60)/30*REVENUE!C65,0)+IF(AND(90&lt;D$16,D$16&lt;=120),REVENUE!C67+REVENUE!C66+REVENUE!C65+(D$16-90)/30*REVENUE!C63,0)</f>
        <v>256038</v>
      </c>
      <c r="E70" s="66">
        <f>IF(E$16&lt;=30,E$16/30*REVENUE!D67,0)+IF(AND(30&lt;E$16,E$16&lt;=60),REVENUE!D67+(E$16-30)/30*REVENUE!D66,0)+IF(AND(60&lt;E$16,E$16&lt;=90),REVENUE!D67+REVENUE!D66+(E$16-60)/30*REVENUE!D65,0)+IF(AND(90&lt;E$16,E$16&lt;=120),REVENUE!D67+REVENUE!D66+REVENUE!D65+(E$16-90)/30*REVENUE!D63,0)</f>
        <v>771950.4</v>
      </c>
      <c r="F70" s="66">
        <f>IF(F$16&lt;=30,F$16/30*REVENUE!E67,0)+IF(AND(30&lt;F$16,F$16&lt;=60),REVENUE!E67+(F$16-30)/30*REVENUE!E66,0)+IF(AND(60&lt;F$16,F$16&lt;=90),REVENUE!E67+REVENUE!E66+(F$16-60)/30*REVENUE!E65,0)+IF(AND(90&lt;F$16,F$16&lt;=120),REVENUE!E67+REVENUE!E66+REVENUE!E65+(F$16-90)/30*REVENUE!E63,0)</f>
        <v>1410850</v>
      </c>
      <c r="G70" s="66">
        <f>IF(G$16&lt;=30,G$16/30*REVENUE!F67,0)+IF(AND(30&lt;G$16,G$16&lt;=60),REVENUE!F67+(G$16-30)/30*REVENUE!F66,0)+IF(AND(60&lt;G$16,G$16&lt;=90),REVENUE!F67+REVENUE!F66+(G$16-60)/30*REVENUE!F65,0)+IF(AND(90&lt;G$16,G$16&lt;=120),REVENUE!F67+REVENUE!F66+REVENUE!F65+(G$16-90)/30*REVENUE!F63,0)</f>
        <v>1984920</v>
      </c>
    </row>
    <row r="71" spans="1:7" x14ac:dyDescent="0.3">
      <c r="A71" s="61"/>
      <c r="B71" s="61"/>
      <c r="C71" s="61"/>
      <c r="D71" s="61"/>
      <c r="E71" s="61"/>
      <c r="F71" s="61"/>
      <c r="G71" s="61"/>
    </row>
    <row r="72" spans="1:7" x14ac:dyDescent="0.3">
      <c r="A72" s="61"/>
      <c r="B72" s="61"/>
      <c r="C72" s="61"/>
      <c r="D72" s="61"/>
      <c r="E72" s="61"/>
      <c r="F72" s="61"/>
      <c r="G72" s="61"/>
    </row>
    <row r="73" spans="1:7" x14ac:dyDescent="0.3">
      <c r="A73" s="61"/>
      <c r="B73" s="61"/>
      <c r="C73" s="94"/>
      <c r="D73" s="94"/>
      <c r="E73" s="94"/>
      <c r="F73" s="61"/>
      <c r="G73" s="61"/>
    </row>
    <row r="74" spans="1:7" x14ac:dyDescent="0.3">
      <c r="A74" s="61"/>
      <c r="B74" s="61"/>
      <c r="C74" s="95" t="s">
        <v>239</v>
      </c>
      <c r="D74" s="94"/>
      <c r="E74" s="94"/>
      <c r="F74" s="94"/>
      <c r="G74" s="94"/>
    </row>
    <row r="75" spans="1:7" x14ac:dyDescent="0.3">
      <c r="A75" s="61"/>
      <c r="B75" s="61"/>
      <c r="C75" s="66">
        <f>IF(C$23&lt;=30,C$23/30*REVENUE!B53,0)+IF(AND(30&lt;C$23,C$23&lt;=60),REVENUE!B53,0)+IF(AND(60&lt;C$23,C$23&lt;=90),REVENUE!B53,0)+IF(AND(90&lt;C$23,C$23&lt;=120),REVENUE!B53,0)</f>
        <v>33208.933333333334</v>
      </c>
      <c r="D75" s="66"/>
      <c r="E75" s="66"/>
      <c r="F75" s="66"/>
      <c r="G75" s="66"/>
    </row>
    <row r="76" spans="1:7" x14ac:dyDescent="0.3">
      <c r="A76" s="61"/>
      <c r="B76" s="61"/>
      <c r="C76" s="66">
        <f>IF(C$23&lt;=30,C$23/30*REVENUE!B54,0)+IF(AND(30&lt;C$23,C$23&lt;=60),REVENUE!B54+(C$23-30)/30*REVENUE!B53,0)+IF(AND(60&lt;C$23,C$23&lt;=90),REVENUE!B54+REVENUE!B53,0)+IF(AND(90&lt;C$23,C$23&lt;=120),REVENUE!B54+REVENUE!B53,0)</f>
        <v>33208.933333333334</v>
      </c>
      <c r="D76" s="66"/>
      <c r="E76" s="66"/>
      <c r="F76" s="66"/>
      <c r="G76" s="66"/>
    </row>
    <row r="77" spans="1:7" x14ac:dyDescent="0.3">
      <c r="A77" s="61"/>
      <c r="B77" s="61"/>
      <c r="C77" s="66">
        <f>IF(C$23&lt;=30,C$23/30*REVENUE!B55,0)+IF(AND(30&lt;C$23,C$23&lt;=60),REVENUE!B55+(C$23-30)/30*REVENUE!B54,0)+IF(AND(60&lt;C$23,C$23&lt;=90),REVENUE!B55+REVENUE!B54+(C$23-60)/30*REVENUEB53,0)+IF(AND(90&lt;C$23,C$23&lt;=120),REVENUE!B55+REVENUE!B54+REVENUE!B53,0)</f>
        <v>33208.933333333334</v>
      </c>
      <c r="D77" s="66"/>
      <c r="E77" s="66"/>
      <c r="F77" s="66"/>
      <c r="G77" s="66"/>
    </row>
    <row r="78" spans="1:7" x14ac:dyDescent="0.3">
      <c r="A78" s="61"/>
      <c r="B78" s="61"/>
      <c r="C78" s="66">
        <f>IF(C$23&lt;=30,C$23/30*REVENUE!B57,0)+IF(AND(30&lt;C$23,C$23&lt;=60),REVENUE!B57+(C$23-30)/30*REVENUE!B55,0)+IF(AND(60&lt;C$23,C$23&lt;=90),REVENUE!B57+REVENUE!B55+(C$23-60)/30*REVENUE!B54,0)+IF(AND(90&lt;C$23,C$23&lt;=120),REVENUE!B57+REVENUE!B55+REVENUE!B54+(C$23-90)/30*REVENUE!B53,0)</f>
        <v>33208.933333333334</v>
      </c>
      <c r="D78" s="66"/>
      <c r="E78" s="66"/>
      <c r="F78" s="66"/>
      <c r="G78" s="66"/>
    </row>
    <row r="79" spans="1:7" x14ac:dyDescent="0.3">
      <c r="A79" s="61"/>
      <c r="B79" s="61"/>
      <c r="C79" s="66">
        <f>IF(C$23&lt;=30,C$23/30*REVENUE!B58,0)+IF(AND(30&lt;C$23,C$23&lt;=60),REVENUE!B58+(C$23-30)/30*REVENUE!B57,0)+IF(AND(60&lt;C$23,C$23&lt;=90),REVENUE!B58+REVENUE!B57+(C$23-60)/30*REVENUE!B55,0)+IF(AND(90&lt;C$23,C$23&lt;=120),REVENUE!B58+REVENUE!B57+REVENUE!B55+(C$23-90)/30*REVENUE!B54,0)</f>
        <v>33208.933333333334</v>
      </c>
      <c r="D79" s="66"/>
      <c r="E79" s="66"/>
      <c r="F79" s="66"/>
      <c r="G79" s="66"/>
    </row>
    <row r="80" spans="1:7" x14ac:dyDescent="0.3">
      <c r="A80" s="61"/>
      <c r="B80" s="61"/>
      <c r="C80" s="66">
        <f>IF(C$23&lt;=30,C$23/30*REVENUE!B59,0)+IF(AND(30&lt;C$23,C$23&lt;=60),REVENUE!B59+(C$23-30)/30*REVENUE!B58,0)+IF(AND(60&lt;C$23,C$23&lt;=90),REVENUE!B59+REVENUE!B58+(C$23-60)/30*REVENUE!B57,0)+IF(AND(90&lt;C$23,C$23&lt;=120),REVENUE!B59+REVENUE!B58+REVENUE!B57+(C$23-90)/30*REVENUE!B55,0)</f>
        <v>33208.933333333334</v>
      </c>
      <c r="D80" s="66"/>
      <c r="E80" s="66"/>
      <c r="F80" s="66"/>
      <c r="G80" s="66"/>
    </row>
    <row r="81" spans="1:7" x14ac:dyDescent="0.3">
      <c r="A81" s="61"/>
      <c r="B81" s="61"/>
      <c r="C81" s="66">
        <f>IF(C$23&lt;=30,C$23/30*REVENUE!B61,0)+IF(AND(30&lt;C$23,C$23&lt;=60),REVENUE!B61+(C$23-30)/30*REVENUE!B59,0)+IF(AND(60&lt;C$23,C$23&lt;=90),REVENUE!B61+REVENUE!B59+(C$23-60)/30*REVENUE!B58,0)+IF(AND(90&lt;C$23,C$23&lt;=120),REVENUE!B61+REVENUE!B59+REVENUE!B58+(C$23-90)/30*REVENUE!B57,0)</f>
        <v>33208.933333333334</v>
      </c>
      <c r="D81" s="66"/>
      <c r="E81" s="66"/>
      <c r="F81" s="66"/>
      <c r="G81" s="66"/>
    </row>
    <row r="82" spans="1:7" x14ac:dyDescent="0.3">
      <c r="A82" s="61"/>
      <c r="B82" s="61"/>
      <c r="C82" s="66">
        <f>IF(C$23&lt;=30,C$23/30*REVENUE!B62,0)+IF(AND(30&lt;C$23,C$23&lt;=60),REVENUE!B62+(C$23-30)/30*REVENUE!B61,0)+IF(AND(60&lt;C$23,C$23&lt;=90),REVENUE!B62+REVENUE!B61+(C$23-60)/30*REVENUE!B59,0)+IF(AND(90&lt;C$23,C$23&lt;=120),REVENUE!B62+REVENUE!B61+REVENUE!B59+(C$23-90)/30*REVENUE!B58,0)</f>
        <v>33208.933333333334</v>
      </c>
      <c r="D82" s="66"/>
      <c r="E82" s="66"/>
      <c r="F82" s="66"/>
      <c r="G82" s="66"/>
    </row>
    <row r="83" spans="1:7" x14ac:dyDescent="0.3">
      <c r="A83" s="61"/>
      <c r="B83" s="61"/>
      <c r="C83" s="66">
        <f>IF(C$23&lt;=30,C$23/30*REVENUE!B63,0)+IF(AND(30&lt;C$23,C$23&lt;=60),REVENUE!B63+(C$23-30)/30*REVENUE!B62,0)+IF(AND(60&lt;C$23,C$23&lt;=90),REVENUE!B63+REVENUE!B62+(C$23-60)/30*REVENUE!B61,0)+IF(AND(90&lt;C$23,C$23&lt;=120),REVENUE!B63+REVENUE!B62+REVENUE!B61+(C$23-90)/30*REVENUE!B59,0)</f>
        <v>33248.800000000003</v>
      </c>
      <c r="D83" s="66"/>
      <c r="E83" s="66"/>
      <c r="F83" s="66"/>
      <c r="G83" s="66"/>
    </row>
    <row r="84" spans="1:7" x14ac:dyDescent="0.3">
      <c r="A84" s="61"/>
      <c r="B84" s="61"/>
      <c r="C84" s="66">
        <f>IF(C$23&lt;=30,C$23/30*REVENUE!B65,0)+IF(AND(30&lt;C$23,C$23&lt;=60),REVENUE!B65+(C$23-30)/30*REVENUE!B63,0)+IF(AND(60&lt;C$23,C$23&lt;=90),REVENUE!B65+REVENUE!B63+(C$23-60)/30*REVENUE!B62,0)+IF(AND(90&lt;C$23,C$23&lt;=120),REVENUE!B65+REVENUE!B63+REVENUE!B62+(C$23-90)/30*REVENUE!B61,0)</f>
        <v>33248.800000000003</v>
      </c>
      <c r="D84" s="66"/>
      <c r="E84" s="66"/>
      <c r="F84" s="66"/>
      <c r="G84" s="66"/>
    </row>
    <row r="85" spans="1:7" x14ac:dyDescent="0.3">
      <c r="A85" s="61"/>
      <c r="B85" s="61"/>
      <c r="C85" s="66">
        <f>IF(C$23&lt;=30,C$23/30*REVENUE!B66,0)+IF(AND(30&lt;C$23,C$23&lt;=60),REVENUE!B66+(C$23-30)/30*REVENUE!B65,0)+IF(AND(60&lt;C$23,C$23&lt;=90),REVENUE!B66+REVENUE!B65+(C$23-60)/30*REVENUE!B63,0)+IF(AND(90&lt;C$23,C$23&lt;=120),REVENUE!B66+REVENUE!B65+REVENUE!B63+(C$23-90)/30*REVENUE!B62,0)</f>
        <v>33248.800000000003</v>
      </c>
      <c r="D85" s="66"/>
      <c r="E85" s="66"/>
      <c r="F85" s="66"/>
      <c r="G85" s="66"/>
    </row>
    <row r="86" spans="1:7" x14ac:dyDescent="0.3">
      <c r="A86" s="61"/>
      <c r="B86" s="61"/>
      <c r="C86" s="66">
        <f>IF(C$23&lt;=30,C$23/30*REVENUE!B67,0)+IF(AND(30&lt;C$23,C$23&lt;=60),REVENUE!B67+(C$23-30)/30*REVENUE!B66,0)+IF(AND(60&lt;C$23,C$23&lt;=90),REVENUE!B67+REVENUE!B66+(C$23-60)/30*REVENUE!B65,0)+IF(AND(90&lt;C$23,C$23&lt;=120),REVENUE!B67+REVENUE!B66+REVENUE!B65+(C$23-90)/30*REVENUE!B63,0)</f>
        <v>33248.800000000003</v>
      </c>
      <c r="D86" s="66">
        <f>IF(D$23&lt;=30,D$23/30*REVENUE!C67,0)+IF(AND(30&lt;D$23,D$23&lt;=60),REVENUE!C67+(D$23-30)/30*REVENUE!C66,0)+IF(AND(60&lt;D$23,D$23&lt;=90),REVENUE!C67+REVENUE!C66+(D$23-60)/30*REVENUE!C65,0)+IF(AND(90&lt;D$23,D$23&lt;=120),REVENUE!C67+REVENUE!C66+REVENUE!C65+(D$23-90)/30*REVENUE!C63,0)</f>
        <v>51207.6</v>
      </c>
      <c r="E86" s="66">
        <f>IF(E$23&lt;=30,E$23/30*REVENUE!D67,0)+IF(AND(30&lt;E$23,E$23&lt;=60),REVENUE!D67+(E$23-30)/30*REVENUE!D66,0)+IF(AND(60&lt;E$23,E$23&lt;=90),REVENUE!D67+REVENUE!D66+(E$23-60)/30*REVENUE!D65,0)+IF(AND(90&lt;E$23,E$23&lt;=120),REVENUE!D67+REVENUE!D66+REVENUE!D65+(E$23-90)/30*REVENUE!D63,0)</f>
        <v>128658.4</v>
      </c>
      <c r="F86" s="66">
        <f>IF(F$23&lt;=30,F$23/30*REVENUE!E67,0)+IF(AND(30&lt;F$23,F$23&lt;=60),REVENUE!E67+(F$23-30)/30*REVENUE!E66,0)+IF(AND(60&lt;F$23,F$23&lt;=90),REVENUE!E67+REVENUE!E66+(F$23-60)/30*REVENUE!E65,0)+IF(AND(90&lt;F$23,F$23&lt;=120),REVENUE!E67+REVENUE!E66+REVENUE!E65+(F$23-90)/30*REVENUE!E63,0)</f>
        <v>282170</v>
      </c>
      <c r="G86" s="66">
        <f>IF(G$23&lt;=30,G$23/30*REVENUE!F67,0)+IF(AND(30&lt;G$23,G$23&lt;=60),REVENUE!F67+(G$23-30)/30*REVENUE!F66,0)+IF(AND(60&lt;G$23,G$23&lt;=90),REVENUE!F67+REVENUE!F66+(G$23-60)/30*REVENUE!F65,0)+IF(AND(90&lt;G$23,G$23&lt;=120),REVENUE!F67+REVENUE!F66+REVENUE!F65+(G$23-90)/30*REVENUE!F63,0)</f>
        <v>529312</v>
      </c>
    </row>
    <row r="87" spans="1:7" x14ac:dyDescent="0.3">
      <c r="A87" s="61"/>
      <c r="B87" s="61"/>
      <c r="C87" s="61"/>
      <c r="D87" s="61"/>
      <c r="E87" s="61"/>
      <c r="F87" s="61"/>
      <c r="G87" s="61"/>
    </row>
    <row r="88" spans="1:7" x14ac:dyDescent="0.3">
      <c r="A88" s="61"/>
      <c r="B88" s="61"/>
      <c r="C88" s="61"/>
      <c r="D88" s="61"/>
      <c r="E88" s="61"/>
      <c r="F88" s="61"/>
      <c r="G88" s="61"/>
    </row>
    <row r="89" spans="1:7" x14ac:dyDescent="0.3">
      <c r="A89" s="61"/>
      <c r="B89" s="61"/>
      <c r="C89" s="61"/>
      <c r="D89" s="94"/>
      <c r="E89" s="94"/>
      <c r="F89" s="61"/>
      <c r="G89" s="61"/>
    </row>
    <row r="90" spans="1:7" x14ac:dyDescent="0.3">
      <c r="A90" s="61"/>
      <c r="B90" s="61"/>
      <c r="C90" s="95" t="s">
        <v>238</v>
      </c>
      <c r="D90" s="94"/>
      <c r="E90" s="94"/>
      <c r="F90" s="61"/>
      <c r="G90" s="61"/>
    </row>
    <row r="91" spans="1:7" x14ac:dyDescent="0.3">
      <c r="A91" s="61"/>
      <c r="B91" s="61"/>
      <c r="C91" s="66">
        <f>IF(C$29&lt;=30,C$29/30*REVENUE!B53,0)+IF(AND(30&lt;C$29,C$29&lt;=60),REVENUE!B53,0)+IF(AND(60&lt;C$29,C$29&lt;=90),REVENUE!B53,0)+IF(AND(90&lt;C$29,C$29&lt;=120),REVENUE!B53,0)</f>
        <v>249067</v>
      </c>
      <c r="D91" s="66"/>
      <c r="E91" s="66"/>
      <c r="F91" s="66"/>
      <c r="G91" s="66"/>
    </row>
    <row r="92" spans="1:7" x14ac:dyDescent="0.3">
      <c r="A92" s="61"/>
      <c r="B92" s="61"/>
      <c r="C92" s="66">
        <f>IF(C$29&lt;=30,C$29/30*REVENUE!B54,0)+IF(AND(30&lt;C$29,C$29&lt;=60),REVENUE!B54+(C$29-30)/30*REVENUE!B53,0)+IF(AND(60&lt;C$29,C$29&lt;=90),REVENUE!B54+REVENUE!B53,0)+IF(AND(90&lt;C$29,C$29&lt;=120),REVENUE!B54+REVENUE!B53,0)</f>
        <v>249067</v>
      </c>
      <c r="D92" s="66"/>
      <c r="E92" s="66"/>
      <c r="F92" s="66"/>
      <c r="G92" s="66"/>
    </row>
    <row r="93" spans="1:7" x14ac:dyDescent="0.3">
      <c r="A93" s="61"/>
      <c r="B93" s="61"/>
      <c r="C93" s="66">
        <f>IF(C$29&lt;=30,C$29/30*REVENUE!B55,0)+IF(AND(30&lt;C$29,C$29&lt;=60),REVENUE!B55+(C$29-30)/30*REVENUE!B54,0)+IF(AND(60&lt;C$29,C$29&lt;=90),REVENUE!B55+REVENUE!B54+(C$29-60)/30*REVENUE!B53,0)+IF(AND(90&lt;C$29,C$29&lt;=120),REVENUE!B55+REVENUE!B54+REVENUE!B53,0)</f>
        <v>249067</v>
      </c>
      <c r="D93" s="66"/>
      <c r="E93" s="66"/>
      <c r="F93" s="66"/>
      <c r="G93" s="66"/>
    </row>
    <row r="94" spans="1:7" x14ac:dyDescent="0.3">
      <c r="A94" s="61"/>
      <c r="B94" s="61"/>
      <c r="C94" s="66">
        <f>IF(C$29&lt;=30,C$29/30*REVENUE!B57,0)+IF(AND(30&lt;C$29,C$29&lt;=60),REVENUE!B57+(C$29-30)/30*REVENUE!B55,0)+IF(AND(60&lt;C$29,C$29&lt;=90),REVENUE!B57+REVENUE!B55+(C$29-60)/30*REVENUE!B54,0)+IF(AND(90&lt;C$29,C$29&lt;=120),REVENUE!B57+REVENUE!B55+REVENUE!B54+(C$29-90)/30*REVENUE!B53,0)</f>
        <v>249067</v>
      </c>
      <c r="D94" s="66"/>
      <c r="E94" s="66"/>
      <c r="F94" s="66"/>
      <c r="G94" s="66"/>
    </row>
    <row r="95" spans="1:7" x14ac:dyDescent="0.3">
      <c r="A95" s="61"/>
      <c r="B95" s="61"/>
      <c r="C95" s="66">
        <f>IF(C$29&lt;=30,C$29/30*REVENUE!B58,0)+IF(AND(30&lt;C$29,C$29&lt;=60),REVENUE!B58+(C$29-30)/30*REVENUE!B57,0)+IF(AND(60&lt;C$29,C$29&lt;=90),REVENUE!B58+REVENUE!B57+(C$29-60)/30*REVENUE!B55,0)+IF(AND(90&lt;C$29,C$29&lt;=120),REVENUE!B58+REVENUE!B57+REVENUE!B55+(C$29-90)/30*REVENUE!B54,0)</f>
        <v>249067</v>
      </c>
      <c r="D95" s="66"/>
      <c r="E95" s="66"/>
      <c r="F95" s="66"/>
      <c r="G95" s="66"/>
    </row>
    <row r="96" spans="1:7" x14ac:dyDescent="0.3">
      <c r="A96" s="61"/>
      <c r="B96" s="61"/>
      <c r="C96" s="66">
        <f>IF(C$29&lt;=30,C$29/30*REVENUE!B59,0)+IF(AND(30&lt;C$29,C$29&lt;=60),REVENUE!B59+(C$29-30)/30*REVENUE!B58,0)+IF(AND(60&lt;C$29,C$29&lt;=90),REVENUE!B59+REVENUE!B58+(C$29-60)/30*REVENUE!B57,0)+IF(AND(90&lt;C$29,C$29&lt;=120),REVENUE!B59+REVENUE!B58+REVENUE!B57+(C$29-90)/30*REVENUE!B55,0)</f>
        <v>249067</v>
      </c>
      <c r="D96" s="66"/>
      <c r="E96" s="66"/>
      <c r="F96" s="66"/>
      <c r="G96" s="66"/>
    </row>
    <row r="97" spans="1:7" x14ac:dyDescent="0.3">
      <c r="A97" s="61"/>
      <c r="B97" s="61"/>
      <c r="C97" s="66">
        <f>IF(C$29&lt;=30,C$29/30*REVENUE!B61,0)+IF(AND(30&lt;C$29,C$29&lt;=60),REVENUE!B61+(C$29-30)/30*REVENUE!B59,0)+IF(AND(60&lt;C$29,C$29&lt;=90),REVENUE!B61+REVENUE!B59+(C$29-60)/30*REVENUE!B58,0)+IF(AND(90&lt;C$29,C$29&lt;=120),REVENUE!B61+REVENUE!B59+REVENUE!B58+(C$29-90)/30*REVENUE!B57,0)</f>
        <v>249067</v>
      </c>
      <c r="D97" s="66"/>
      <c r="E97" s="66"/>
      <c r="F97" s="66"/>
      <c r="G97" s="66"/>
    </row>
    <row r="98" spans="1:7" x14ac:dyDescent="0.3">
      <c r="A98" s="61"/>
      <c r="B98" s="61"/>
      <c r="C98" s="66">
        <f>IF(C$29&lt;=30,C$29/30*REVENUE!B62,0)+IF(AND(30&lt;C$29,C$29&lt;=60),REVENUE!B62+(C$29-30)/30*REVENUE!B61,0)+IF(AND(60&lt;C$29,C$29&lt;=90),REVENUE!B62+REVENUE!B61+(C$29-60)/30*REVENUE!B59,0)+IF(AND(90&lt;C$29,C$29&lt;=120),REVENUE!B62+REVENUE!B61+REVENUE!B59+(C$29-90)/30*REVENUE!B58,0)</f>
        <v>249067</v>
      </c>
      <c r="D98" s="66"/>
      <c r="E98" s="66"/>
      <c r="F98" s="66"/>
      <c r="G98" s="66"/>
    </row>
    <row r="99" spans="1:7" x14ac:dyDescent="0.3">
      <c r="A99" s="61"/>
      <c r="B99" s="61"/>
      <c r="C99" s="66">
        <f>IF(C$29&lt;=30,C$29/30*REVENUE!B63,0)+IF(AND(30&lt;C$29,C$29&lt;=60),REVENUE!B63+(C$29-30)/30*REVENUE!B62,0)+IF(AND(60&lt;C$29,C$29&lt;=90),REVENUE!B63+REVENUE!B62+(C$29-60)/30*REVENUE!B61,0)+IF(AND(90&lt;C$29,C$29&lt;=120),REVENUE!B63+REVENUE!B62+REVENUE!B61+(C$29-90)/30*REVENUE!B59,0)</f>
        <v>249366</v>
      </c>
      <c r="D99" s="66"/>
      <c r="E99" s="66"/>
      <c r="F99" s="66"/>
      <c r="G99" s="66"/>
    </row>
    <row r="100" spans="1:7" x14ac:dyDescent="0.3">
      <c r="A100" s="61"/>
      <c r="B100" s="61"/>
      <c r="C100" s="66">
        <f>IF(C$29&lt;=30,C$29/30*REVENUE!B65,0)+IF(AND(30&lt;C$29,C$29&lt;=60),REVENUE!B65+(C$29-30)/30*REVENUE!B63,0)+IF(AND(60&lt;C$29,C$29&lt;=90),REVENUE!B65+REVENUE!B63+(C$29-60)/30*REVENUE!B62,0)+IF(AND(90&lt;C$29,C$29&lt;=120),REVENUE!B65+REVENUE!B63+REVENUE!B62+(C$29-90)/30*REVENUE!B61,0)</f>
        <v>249366</v>
      </c>
      <c r="D100" s="66"/>
      <c r="E100" s="66"/>
      <c r="F100" s="66"/>
      <c r="G100" s="66"/>
    </row>
    <row r="101" spans="1:7" x14ac:dyDescent="0.3">
      <c r="A101" s="61"/>
      <c r="B101" s="61"/>
      <c r="C101" s="66">
        <f>IF(C$29&lt;=30,C$29/30*REVENUE!B66,0)+IF(AND(30&lt;C$29,C$29&lt;=60),REVENUE!B66+(C$29-30)/30*REVENUE!B65,0)+IF(AND(60&lt;C$29,C$29&lt;=90),REVENUE!B66+REVENUE!B65+(C$29-60)/30*REVENUE!B63,0)+IF(AND(90&lt;C$29,C$29&lt;=120),REVENUE!B66+REVENUE!B65+REVENUE!B63+(C$29-90)/30*REVENUE!B62,0)</f>
        <v>249366</v>
      </c>
      <c r="D101" s="66"/>
      <c r="E101" s="66"/>
      <c r="F101" s="66"/>
      <c r="G101" s="66"/>
    </row>
    <row r="102" spans="1:7" x14ac:dyDescent="0.3">
      <c r="A102" s="61"/>
      <c r="B102" s="61"/>
      <c r="C102" s="66">
        <f>IF(C$29&lt;=30,C$29/30*REVENUE!B67,0)+IF(AND(30&lt;C$29,C$29&lt;=60),REVENUE!B67+(C$29-30)/30*REVENUE!B66,0)+IF(AND(60&lt;C$29,C$29&lt;=90),REVENUE!B67+REVENUE!B66+(C$29-60)/30*REVENUE!B65,0)+IF(AND(90&lt;C$29,C$29&lt;=120),REVENUE!B67+REVENUE!B66+REVENUE!B65+(C$29-90)/30*REVENUE!B63,0)</f>
        <v>249366</v>
      </c>
      <c r="D102" s="66">
        <f>IF(D$29&lt;=30,D$29/30*REVENUE!C67,0)+IF(AND(30&lt;D$29,D$29&lt;=60),REVENUE!C67+(D$29-30)/30*REVENUE!C66,0)+IF(AND(60&lt;D$29,D$29&lt;=90),REVENUE!C67+REVENUE!C66+(D$29-60)/30*REVENUE!C65,0)+IF(AND(90&lt;D$29,D$29&lt;=120),REVENUE!C67+REVENUE!C66+REVENUE!C65+(D$29-90)/30*REVENUE!C63,0)</f>
        <v>384057</v>
      </c>
      <c r="E102" s="66">
        <f>IF(E$29&lt;=30,E$29/30*REVENUE!D67,0)+IF(AND(30&lt;E$29,E$29&lt;=60),REVENUE!D67+(E$29-30)/30*REVENUE!D66,0)+IF(AND(60&lt;E$29,E$29&lt;=90),REVENUE!D67+REVENUE!D66+(E$29-60)/30*REVENUE!D65,0)+IF(AND(90&lt;E$29,E$29&lt;=120),REVENUE!D67+REVENUE!D66+REVENUE!D65+(E$29-90)/30*REVENUE!D63,0)</f>
        <v>964938</v>
      </c>
      <c r="F102" s="66">
        <f>IF(F$29&lt;=30,F$29/30*REVENUE!E67,0)+IF(AND(30&lt;F$29,F$29&lt;=60),REVENUE!E67+(F$29-30)/30*REVENUE!E66,0)+IF(AND(60&lt;F$29,F$29&lt;=90),REVENUE!E67+REVENUE!E66+(F$29-60)/30*REVENUE!E65,0)+IF(AND(90&lt;F$29,F$29&lt;=120),REVENUE!E67+REVENUE!E66+REVENUE!E65+(F$29-90)/30*REVENUE!E63,0)</f>
        <v>2116275</v>
      </c>
      <c r="G102" s="66">
        <f>IF(G$29&lt;=30,G$29/30*REVENUE!F67,0)+IF(AND(30&lt;G$29,G$29&lt;=60),REVENUE!F67+(G$29-30)/30*REVENUE!F66,0)+IF(AND(60&lt;G$29,G$29&lt;=90),REVENUE!F67+REVENUE!F66+(G$29-60)/30*REVENUE!F65,0)+IF(AND(90&lt;G$29,G$29&lt;=120),REVENUE!F67+REVENUE!F66+REVENUE!F65+(G$29-90)/30*REVENUE!F63,0)</f>
        <v>3969840</v>
      </c>
    </row>
    <row r="103" spans="1:7" x14ac:dyDescent="0.3">
      <c r="A103" s="61"/>
      <c r="B103" s="61"/>
      <c r="C103" s="61"/>
      <c r="D103" s="61"/>
      <c r="E103" s="61"/>
      <c r="F103" s="61"/>
      <c r="G103" s="61"/>
    </row>
    <row r="104" spans="1:7" x14ac:dyDescent="0.3">
      <c r="A104" s="61"/>
      <c r="B104" s="61"/>
      <c r="C104" s="61"/>
      <c r="D104" s="61"/>
      <c r="E104" s="61"/>
      <c r="F104" s="61"/>
      <c r="G104" s="61"/>
    </row>
    <row r="105" spans="1:7" x14ac:dyDescent="0.3">
      <c r="A105" s="61"/>
      <c r="B105" s="61"/>
      <c r="C105" s="61"/>
      <c r="D105" s="94"/>
      <c r="E105" s="94"/>
      <c r="F105" s="61"/>
      <c r="G105" s="61"/>
    </row>
    <row r="106" spans="1:7" x14ac:dyDescent="0.3">
      <c r="A106" s="61"/>
      <c r="B106" s="61"/>
      <c r="C106" s="95" t="s">
        <v>240</v>
      </c>
      <c r="D106" s="94"/>
      <c r="E106" s="94"/>
      <c r="F106" s="61"/>
      <c r="G106" s="61"/>
    </row>
    <row r="107" spans="1:7" x14ac:dyDescent="0.3">
      <c r="A107" s="61"/>
      <c r="B107" s="61"/>
      <c r="C107" s="66">
        <f>IF(C$35&lt;=30,C$35/30*REVENUE!B53,0)+IF(AND(30&lt;C$35,C$35&lt;=60),REVENUE!B53,0)+IF(AND(60&lt;C$35,C$35&lt;=90),REVENUE!B53,0)+IF(AND(90&lt;C$35,C$35&lt;=120),REVENUE!B53,0)</f>
        <v>33208.933333333334</v>
      </c>
      <c r="D107" s="66"/>
      <c r="E107" s="66"/>
      <c r="F107" s="66"/>
      <c r="G107" s="66"/>
    </row>
    <row r="108" spans="1:7" x14ac:dyDescent="0.3">
      <c r="A108" s="61"/>
      <c r="B108" s="61"/>
      <c r="C108" s="66">
        <f>IF(C$35&lt;=30,C$35/30*REVENUE!B54,0)+IF(AND(30&lt;C$35,C$35&lt;=60),REVENUE!B54+(C$35-30)/30*REVENUE!B53,0)+IF(AND(60&lt;C$35,C$35&lt;=90),REVENUE!B54+REVENUE!B53,0)+IF(AND(90&lt;C$35,C$35&lt;=120),REVENUE!B54+REVENUE!B53,0)</f>
        <v>33208.933333333334</v>
      </c>
      <c r="D108" s="66"/>
      <c r="E108" s="66"/>
      <c r="F108" s="66"/>
      <c r="G108" s="66"/>
    </row>
    <row r="109" spans="1:7" x14ac:dyDescent="0.3">
      <c r="A109" s="61"/>
      <c r="B109" s="61"/>
      <c r="C109" s="66">
        <f>IF(C$35&lt;=30,C$35/30*REVENUE!B55,0)+IF(AND(30&lt;C$35,C$35&lt;=60),REVENUE!B55+(C$35-30)/30*REVENUE!B54,0)+IF(AND(60&lt;C$35,C$35&lt;=90),REVENUE!B55+REVENUE!B54+(C$35-60)/30*REVENUE!B53,0)+IF(AND(90&lt;C$35,C$35&lt;=120),REVENUE!B55+REVENUE!B54+REVENUE!B53,0)</f>
        <v>33208.933333333334</v>
      </c>
      <c r="D109" s="66"/>
      <c r="E109" s="66"/>
      <c r="F109" s="66"/>
      <c r="G109" s="66"/>
    </row>
    <row r="110" spans="1:7" x14ac:dyDescent="0.3">
      <c r="A110" s="61"/>
      <c r="B110" s="61"/>
      <c r="C110" s="66">
        <f>IF(C$35&lt;=30,C$35/30*REVENUE!B57,0)+IF(AND(30&lt;C$35,C$35&lt;=60),REVENUE!B57+(C$35-30)/30*REVENUE!B55,0)+IF(AND(60&lt;C$35,C$35&lt;=90),REVENUE!B57+REVENUE!B55+(C$35-60)/30*REVENUE!B54,0)+IF(AND(90&lt;C$35,C$35&lt;=120),REVENUE!B57+REVENUE!B55+REVENUE!B54+(C$35-90)/30*REVENUE!B53,0)</f>
        <v>33208.933333333334</v>
      </c>
      <c r="D110" s="66"/>
      <c r="E110" s="66"/>
      <c r="F110" s="66"/>
      <c r="G110" s="66"/>
    </row>
    <row r="111" spans="1:7" x14ac:dyDescent="0.3">
      <c r="A111" s="61"/>
      <c r="B111" s="61"/>
      <c r="C111" s="66">
        <f>IF(C$35&lt;=30,C$35/30*REVENUE!B58,0)+IF(AND(30&lt;C$35,C$35&lt;=60),REVENUE!B58+(C$35-30)/30*REVENUE!B57,0)+IF(AND(60&lt;C$35,C$35&lt;=90),REVENUE!B58+REVENUE!B57+(C$35-60)/30*REVENUE!B55,0)+IF(AND(90&lt;C$35,C$35&lt;=120),REVENUE!B58+REVENUE!B57+REVENUE!B55+(C$35-90)/30*REVENUE!B54,0)</f>
        <v>33208.933333333334</v>
      </c>
      <c r="D111" s="66"/>
      <c r="E111" s="66"/>
      <c r="F111" s="66"/>
      <c r="G111" s="66"/>
    </row>
    <row r="112" spans="1:7" x14ac:dyDescent="0.3">
      <c r="A112" s="61"/>
      <c r="B112" s="61"/>
      <c r="C112" s="66">
        <f>IF(C$35&lt;=30,C$35/30*REVENUE!B59,0)+IF(AND(30&lt;C$35,C$35&lt;=60),REVENUE!B59+(C$35-30)/30*REVENUE!B58,0)+IF(AND(60&lt;C$35,C$35&lt;=90),REVENUE!B59+REVENUE!B58+(C$35-60)/30*REVENUE!B57,0)+IF(AND(90&lt;C$35,C$35&lt;=120),REVENUE!B59+REVENUE!B58+REVENUE!B57+(C$35-90)/30*REVENUE!B55,0)</f>
        <v>33208.933333333334</v>
      </c>
      <c r="D112" s="66"/>
      <c r="E112" s="66"/>
      <c r="F112" s="66"/>
      <c r="G112" s="66"/>
    </row>
    <row r="113" spans="1:7" x14ac:dyDescent="0.3">
      <c r="A113" s="61"/>
      <c r="B113" s="61"/>
      <c r="C113" s="66">
        <f>IF(C$35&lt;=30,C$35/30*REVENUE!B61,0)+IF(AND(30&lt;C$35,C$35&lt;=60),REVENUE!B61+(C$35-30)/30*REVENUE!B59,0)+IF(AND(60&lt;C$35,C$35&lt;=90),REVENUE!B61+REVENUE!B59+(C$35-60)/30*REVENUE!B58,0)+IF(AND(90&lt;C$35,C$35&lt;=120),REVENUE!B61+REVENUE!B59+REVENUE!B58+(C$35-90)/30*REVENUE!B57,0)</f>
        <v>33208.933333333334</v>
      </c>
      <c r="D113" s="66"/>
      <c r="E113" s="66"/>
      <c r="F113" s="66"/>
      <c r="G113" s="66"/>
    </row>
    <row r="114" spans="1:7" x14ac:dyDescent="0.3">
      <c r="A114" s="61"/>
      <c r="B114" s="61"/>
      <c r="C114" s="66">
        <f>IF(C$35&lt;=30,C$35/30*REVENUE!B62,0)+IF(AND(30&lt;C$35,C$35&lt;=60),REVENUE!B62+(C$35-30)/30*REVENUE!B61,0)+IF(AND(60&lt;C$35,C$35&lt;=90),REVENUE!B62+REVENUE!B61+(C$35-60)/30*REVENUE!B59,0)+IF(AND(90&lt;C$35,C$35&lt;=120),REVENUE!B62+REVENUE!B61+REVENUE!B59+(C$35-90)/30*REVENUE!B58,0)</f>
        <v>33208.933333333334</v>
      </c>
      <c r="D114" s="66"/>
      <c r="E114" s="66"/>
      <c r="F114" s="66"/>
      <c r="G114" s="66"/>
    </row>
    <row r="115" spans="1:7" x14ac:dyDescent="0.3">
      <c r="A115" s="61"/>
      <c r="B115" s="61"/>
      <c r="C115" s="66">
        <f>IF(C$35&lt;=30,C$35/30*REVENUE!B63,0)+IF(AND(30&lt;C$35,C$35&lt;=60),REVENUE!B63+(C$35-30)/30*REVENUE!B62,0)+IF(AND(60&lt;C$35,C$35&lt;=90),REVENUE!B63+REVENUE!B62+(C$35-60)/30*REVENUE!B61,0)+IF(AND(90&lt;C$35,C$35&lt;=120),REVENUE!B63+REVENUE!B62+REVENUE!B61+(C$35-90)/30*REVENUE!B59,0)</f>
        <v>33248.800000000003</v>
      </c>
      <c r="D115" s="66"/>
      <c r="E115" s="66"/>
      <c r="F115" s="66"/>
      <c r="G115" s="66"/>
    </row>
    <row r="116" spans="1:7" x14ac:dyDescent="0.3">
      <c r="A116" s="61"/>
      <c r="B116" s="61"/>
      <c r="C116" s="66">
        <f>IF(C$35&lt;=30,C$35/30*REVENUE!B65,0)+IF(AND(30&lt;C$35,C$35&lt;=60),REVENUE!B65+(C$35-30)/30*REVENUE!B63,0)+IF(AND(60&lt;C$35,C$35&lt;=90),REVENUE!B65+REVENUE!B63+(C$35-60)/30*REVENUE!B62,0)+IF(AND(90&lt;C$35,C$35&lt;=120),REVENUE!B65+REVENUE!B63+REVENUE!B62+(C$35-90)/30*REVENUE!B61,0)</f>
        <v>33248.800000000003</v>
      </c>
      <c r="D116" s="66"/>
      <c r="E116" s="66"/>
      <c r="F116" s="66"/>
      <c r="G116" s="66"/>
    </row>
    <row r="117" spans="1:7" x14ac:dyDescent="0.3">
      <c r="A117" s="61"/>
      <c r="B117" s="61"/>
      <c r="C117" s="66">
        <f>IF(C$35&lt;=30,C$35/30*REVENUE!B66,0)+IF(AND(30&lt;C$35,C$35&lt;=60),REVENUE!B66+(C$35-30)/30*REVENUE!B65,0)+IF(AND(60&lt;C$35,C$35&lt;=90),REVENUE!B66+REVENUE!B65+(C$35-60)/30*REVENUE!B63,0)+IF(AND(90&lt;C$35,C$35&lt;=120),REVENUE!B66+REVENUE!B65+REVENUE!B63+(C$35-90)/30*REVENUE!B62,0)</f>
        <v>33248.800000000003</v>
      </c>
      <c r="D117" s="66"/>
      <c r="E117" s="66"/>
      <c r="F117" s="66"/>
      <c r="G117" s="66"/>
    </row>
    <row r="118" spans="1:7" x14ac:dyDescent="0.3">
      <c r="A118" s="61"/>
      <c r="B118" s="61"/>
      <c r="C118" s="66">
        <f>IF(C$35&lt;=30,C$35/30*REVENUE!B67,0)+IF(AND(30&lt;C$35,C$35&lt;=60),REVENUE!B67+(C$35-30)/30*REVENUE!B66,0)+IF(AND(60&lt;C$35,C$35&lt;=90),REVENUE!B67+REVENUE!B66+(C$35-60)/30*REVENUE!B65,0)+IF(AND(90&lt;C$35,C$35&lt;=120),REVENUE!B67+REVENUE!B66+REVENUE!B65+(C$35-90)/30*REVENUE!B63,0)</f>
        <v>33248.800000000003</v>
      </c>
      <c r="D118" s="66">
        <f>IF(D$35&lt;=30,D$35/30*REVENUE!C67,0)+IF(AND(30&lt;D$35,D$35&lt;=60),REVENUE!C67+(D$35-30)/30*REVENUE!C66,0)+IF(AND(60&lt;D$35,D$35&lt;=90),REVENUE!C67+REVENUE!C66+(D$35-60)/30*REVENUE!C65,0)+IF(AND(90&lt;D$35,D$35&lt;=120),REVENUE!C67+REVENUE!C66+REVENUE!C65+(D$35-90)/30*REVENUE!C63,0)</f>
        <v>51207.6</v>
      </c>
      <c r="E118" s="66">
        <f>IF(E$35&lt;=30,E$35/30*REVENUE!D67,0)+IF(AND(30&lt;E$35,E$35&lt;=60),REVENUE!D67+(E$35-30)/30*REVENUE!D66,0)+IF(AND(60&lt;E$35,E$35&lt;=90),REVENUE!D67+REVENUE!D66+(E$35-60)/30*REVENUE!D65,0)+IF(AND(90&lt;E$35,E$35&lt;=120),REVENUE!D67+REVENUE!D66+REVENUE!D65+(E$35-90)/30*REVENUE!D63,0)</f>
        <v>128658.4</v>
      </c>
      <c r="F118" s="66">
        <f>IF(F$35&lt;=30,F$35/30*REVENUE!E67,0)+IF(AND(30&lt;F$35,F$35&lt;=60),REVENUE!E67+(F$35-30)/30*REVENUE!E66,0)+IF(AND(60&lt;F$35,F$35&lt;=90),REVENUE!E67+REVENUE!E66+(F$35-60)/30*REVENUE!E65,0)+IF(AND(90&lt;F$35,F$35&lt;=120),REVENUE!E67+REVENUE!E66+REVENUE!E65+(F$35-90)/30*REVENUE!E63,0)</f>
        <v>282170</v>
      </c>
      <c r="G118" s="66">
        <f>IF(G$35&lt;=30,G$35/30*REVENUE!F67,0)+IF(AND(30&lt;G$35,G$35&lt;=60),REVENUE!F67+(G$35-30)/30*REVENUE!F66,0)+IF(AND(60&lt;G$35,G$35&lt;=90),REVENUE!F67+REVENUE!F66+(G$35-60)/30*REVENUE!F65,0)+IF(AND(90&lt;G$35,G$35&lt;=120),REVENUE!F67+REVENUE!F66+REVENUE!F65+(G$35-90)/30*REVENUE!F63,0)</f>
        <v>529312</v>
      </c>
    </row>
    <row r="119" spans="1:7" x14ac:dyDescent="0.3">
      <c r="A119" s="61"/>
      <c r="B119" s="61"/>
      <c r="C119" s="61"/>
      <c r="D119" s="61"/>
      <c r="E119" s="61"/>
      <c r="F119" s="61"/>
      <c r="G119" s="61"/>
    </row>
  </sheetData>
  <sheetProtection algorithmName="SHA-512" hashValue="KmNGedbJnWJDQmTm3qfLjve90DxQRVWbXHf4IqU3HNyXl5N6X3E+fQBhIiyLou3aDaIg85Xrmm1AnLXE08Pgcw==" saltValue="9A+fDG+yZKGLGyrYlec8VA==" spinCount="100000" sheet="1" objects="1" scenarios="1"/>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16</vt:i4>
      </vt:variant>
    </vt:vector>
  </HeadingPairs>
  <TitlesOfParts>
    <vt:vector size="16" baseType="lpstr">
      <vt:lpstr>INTRODUCTION</vt:lpstr>
      <vt:lpstr>DASHBOARD</vt:lpstr>
      <vt:lpstr>REVENUE</vt:lpstr>
      <vt:lpstr>COST_OF_REV</vt:lpstr>
      <vt:lpstr>OPEX</vt:lpstr>
      <vt:lpstr>EXTRA</vt:lpstr>
      <vt:lpstr>PEOPLE</vt:lpstr>
      <vt:lpstr>CAPEX</vt:lpstr>
      <vt:lpstr>WORKINGCAPITAL</vt:lpstr>
      <vt:lpstr>TAX</vt:lpstr>
      <vt:lpstr>FUNDING</vt:lpstr>
      <vt:lpstr>PL</vt:lpstr>
      <vt:lpstr>BALANCE</vt:lpstr>
      <vt:lpstr>CASHFLOW</vt:lpstr>
      <vt:lpstr>PL_INTRAYEAR</vt:lpstr>
      <vt:lpstr>CASHFLOW_INTRAYEAR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Mozy</dc:creator>
  <cp:lastModifiedBy>Mozy</cp:lastModifiedBy>
  <dcterms:created xsi:type="dcterms:W3CDTF">2018-10-13T16:05:43Z</dcterms:created>
  <dcterms:modified xsi:type="dcterms:W3CDTF">2019-01-12T13:37:05Z</dcterms:modified>
</cp:coreProperties>
</file>